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ai\WiLS Dropbox\WiLS-wide\WPLC\Financials\Budgets\WPLC budget\2024\"/>
    </mc:Choice>
  </mc:AlternateContent>
  <xr:revisionPtr revIDLastSave="0" documentId="13_ncr:1_{81CC9696-A373-4723-B8D2-600098346B93}" xr6:coauthVersionLast="47" xr6:coauthVersionMax="47" xr10:uidLastSave="{00000000-0000-0000-0000-000000000000}"/>
  <bookViews>
    <workbookView xWindow="-108" yWindow="-108" windowWidth="23256" windowHeight="12456" tabRatio="785" xr2:uid="{00000000-000D-0000-FFFF-FFFF00000000}"/>
  </bookViews>
  <sheets>
    <sheet name="2024 budget" sheetId="1" r:id="rId1"/>
    <sheet name="21-22 comparison and totals" sheetId="7" state="hidden" r:id="rId2"/>
    <sheet name="23-24 comparisons and totals" sheetId="9" r:id="rId3"/>
    <sheet name="Partner shares" sheetId="2" r:id="rId4"/>
    <sheet name="Magazine Costs" sheetId="8" r:id="rId5"/>
    <sheet name="Buying pool summary" sheetId="3" r:id="rId6"/>
    <sheet name="Buying pool 23-24 comparison" sheetId="6" r:id="rId7"/>
    <sheet name="Project Managment" sheetId="10" r:id="rId8"/>
  </sheets>
  <definedNames>
    <definedName name="_xlnm.Print_Area" localSheetId="1">'21-22 comparison and totals'!$A$1:$F$23</definedName>
    <definedName name="_xlnm.Print_Area" localSheetId="6">'Buying pool 23-24 comparison'!#REF!</definedName>
  </definedNames>
  <calcPr calcId="181029"/>
</workbook>
</file>

<file path=xl/calcChain.xml><?xml version="1.0" encoding="utf-8"?>
<calcChain xmlns="http://schemas.openxmlformats.org/spreadsheetml/2006/main">
  <c r="D33" i="6" l="1"/>
  <c r="C33" i="6"/>
  <c r="B33" i="6"/>
  <c r="B41" i="3"/>
  <c r="B29" i="8"/>
  <c r="B29" i="2"/>
  <c r="F30" i="9"/>
  <c r="E30" i="9"/>
  <c r="D30" i="9"/>
  <c r="C30" i="9"/>
  <c r="E24" i="6" l="1"/>
  <c r="L16" i="3"/>
  <c r="L22" i="3" s="1"/>
  <c r="H15" i="8"/>
  <c r="H21" i="8" s="1"/>
  <c r="C15" i="2"/>
  <c r="I16" i="9"/>
  <c r="H16" i="9"/>
  <c r="G16" i="9"/>
  <c r="J16" i="9" s="1"/>
  <c r="D15" i="8" l="1"/>
  <c r="B15" i="8"/>
  <c r="D17" i="10" l="1"/>
  <c r="D18" i="10" s="1"/>
  <c r="C17" i="10"/>
  <c r="C18" i="10" s="1"/>
  <c r="C12" i="10"/>
  <c r="C7" i="1"/>
  <c r="D7" i="1" l="1"/>
  <c r="H22" i="3"/>
  <c r="I16" i="3" s="1"/>
  <c r="J17" i="6" l="1"/>
  <c r="J16" i="3"/>
  <c r="L17" i="6" s="1"/>
  <c r="H4" i="3"/>
  <c r="D6" i="8" l="1"/>
  <c r="D7" i="8"/>
  <c r="D8" i="8"/>
  <c r="D9" i="8"/>
  <c r="D10" i="8"/>
  <c r="D11" i="8"/>
  <c r="D12" i="8"/>
  <c r="D13" i="8"/>
  <c r="D14" i="8"/>
  <c r="D16" i="8"/>
  <c r="D17" i="8"/>
  <c r="D18" i="8"/>
  <c r="D19" i="8"/>
  <c r="D20" i="8"/>
  <c r="B6" i="8"/>
  <c r="B7" i="8"/>
  <c r="B8" i="8"/>
  <c r="B9" i="8"/>
  <c r="B10" i="8"/>
  <c r="B11" i="8"/>
  <c r="B12" i="8"/>
  <c r="B13" i="8"/>
  <c r="B14" i="8"/>
  <c r="B16" i="8"/>
  <c r="B17" i="8"/>
  <c r="B18" i="8"/>
  <c r="B19" i="8"/>
  <c r="B20" i="8"/>
  <c r="G7" i="9" l="1"/>
  <c r="G8" i="9"/>
  <c r="G9" i="9"/>
  <c r="G10" i="9"/>
  <c r="G11" i="9"/>
  <c r="G12" i="9"/>
  <c r="G13" i="9"/>
  <c r="G14" i="9"/>
  <c r="G15" i="9"/>
  <c r="G17" i="9"/>
  <c r="G18" i="9"/>
  <c r="G19" i="9"/>
  <c r="G20" i="9"/>
  <c r="G21" i="9"/>
  <c r="D11" i="1" l="1"/>
  <c r="B21" i="9" l="1"/>
  <c r="B13" i="9"/>
  <c r="D21" i="8" l="1"/>
  <c r="B21" i="8"/>
  <c r="C15" i="8" l="1"/>
  <c r="C21" i="8"/>
  <c r="C20" i="8"/>
  <c r="E7" i="8"/>
  <c r="E15" i="8"/>
  <c r="G15" i="8" s="1"/>
  <c r="E16" i="9" s="1"/>
  <c r="C28" i="1"/>
  <c r="E18" i="8"/>
  <c r="E6" i="8"/>
  <c r="C9" i="8"/>
  <c r="E17" i="8"/>
  <c r="E13" i="8"/>
  <c r="C19" i="8"/>
  <c r="C8" i="8"/>
  <c r="E12" i="8"/>
  <c r="C10" i="8"/>
  <c r="C18" i="8"/>
  <c r="E11" i="8"/>
  <c r="C17" i="8"/>
  <c r="E21" i="8"/>
  <c r="E10" i="8"/>
  <c r="C16" i="8"/>
  <c r="E20" i="8"/>
  <c r="E9" i="8"/>
  <c r="C11" i="8"/>
  <c r="E19" i="8"/>
  <c r="C13" i="8"/>
  <c r="C6" i="8"/>
  <c r="E16" i="8"/>
  <c r="I17" i="9" s="1"/>
  <c r="E8" i="8"/>
  <c r="C14" i="8"/>
  <c r="C7" i="8"/>
  <c r="C12" i="8"/>
  <c r="E14" i="8"/>
  <c r="G7" i="8" l="1"/>
  <c r="E8" i="9" s="1"/>
  <c r="F15" i="8"/>
  <c r="G12" i="8"/>
  <c r="E13" i="9" s="1"/>
  <c r="G17" i="8"/>
  <c r="E18" i="9" s="1"/>
  <c r="B1" i="2"/>
  <c r="B2" i="2" s="1"/>
  <c r="C11" i="1"/>
  <c r="G13" i="8"/>
  <c r="E14" i="9" s="1"/>
  <c r="G6" i="8"/>
  <c r="E7" i="9" s="1"/>
  <c r="G20" i="8"/>
  <c r="E21" i="9" s="1"/>
  <c r="G18" i="8"/>
  <c r="E19" i="9" s="1"/>
  <c r="G10" i="8"/>
  <c r="E11" i="9" s="1"/>
  <c r="G11" i="8"/>
  <c r="E12" i="9" s="1"/>
  <c r="G9" i="8"/>
  <c r="E10" i="9" s="1"/>
  <c r="G14" i="8"/>
  <c r="E15" i="9" s="1"/>
  <c r="G16" i="8"/>
  <c r="E17" i="9" s="1"/>
  <c r="G8" i="8"/>
  <c r="E9" i="9" s="1"/>
  <c r="G19" i="8"/>
  <c r="E20" i="9" s="1"/>
  <c r="I13" i="9"/>
  <c r="I21" i="9"/>
  <c r="F18" i="8"/>
  <c r="I10" i="9"/>
  <c r="F8" i="8"/>
  <c r="F16" i="8"/>
  <c r="I9" i="9"/>
  <c r="I12" i="9"/>
  <c r="F20" i="8"/>
  <c r="F10" i="8"/>
  <c r="F9" i="8"/>
  <c r="F11" i="8"/>
  <c r="I19" i="9"/>
  <c r="I20" i="9"/>
  <c r="I11" i="9"/>
  <c r="F19" i="8"/>
  <c r="I18" i="9"/>
  <c r="F17" i="8"/>
  <c r="F7" i="8"/>
  <c r="I8" i="9"/>
  <c r="F14" i="8"/>
  <c r="I15" i="9"/>
  <c r="F6" i="8"/>
  <c r="I7" i="9"/>
  <c r="F12" i="8"/>
  <c r="I14" i="9"/>
  <c r="F13" i="8"/>
  <c r="B14" i="2" l="1"/>
  <c r="D14" i="2" s="1"/>
  <c r="B15" i="2"/>
  <c r="B16" i="2"/>
  <c r="D16" i="2" s="1"/>
  <c r="E22" i="9"/>
  <c r="G21" i="8"/>
  <c r="F21" i="8"/>
  <c r="I22" i="9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7" i="7"/>
  <c r="D16" i="9" l="1"/>
  <c r="D15" i="2"/>
  <c r="D28" i="1"/>
  <c r="F23" i="7" l="1"/>
  <c r="B15" i="7"/>
  <c r="B22" i="7"/>
  <c r="C24" i="6"/>
  <c r="G24" i="6"/>
  <c r="K24" i="6"/>
  <c r="M24" i="6"/>
  <c r="I24" i="6"/>
  <c r="D22" i="3"/>
  <c r="B22" i="3"/>
  <c r="C16" i="3" s="1"/>
  <c r="I7" i="3"/>
  <c r="E16" i="3" l="1"/>
  <c r="D17" i="6" s="1"/>
  <c r="E17" i="3"/>
  <c r="B17" i="6"/>
  <c r="G16" i="3"/>
  <c r="F16" i="3"/>
  <c r="F17" i="6" s="1"/>
  <c r="C10" i="3"/>
  <c r="B11" i="6" s="1"/>
  <c r="J7" i="3"/>
  <c r="L8" i="6" s="1"/>
  <c r="J8" i="6"/>
  <c r="B9" i="2"/>
  <c r="D9" i="2" s="1"/>
  <c r="B18" i="2"/>
  <c r="D18" i="2" s="1"/>
  <c r="B11" i="2"/>
  <c r="D11" i="2" s="1"/>
  <c r="B13" i="2"/>
  <c r="D13" i="2" s="1"/>
  <c r="B8" i="2"/>
  <c r="D8" i="2" s="1"/>
  <c r="B10" i="2"/>
  <c r="D10" i="2" s="1"/>
  <c r="B19" i="2"/>
  <c r="D19" i="2" s="1"/>
  <c r="B20" i="2"/>
  <c r="D20" i="2" s="1"/>
  <c r="B12" i="2"/>
  <c r="D12" i="2" s="1"/>
  <c r="B17" i="2"/>
  <c r="D17" i="2" s="1"/>
  <c r="B6" i="2"/>
  <c r="D6" i="2" s="1"/>
  <c r="B7" i="2"/>
  <c r="D7" i="2" s="1"/>
  <c r="H7" i="9"/>
  <c r="H8" i="9"/>
  <c r="H9" i="9"/>
  <c r="H17" i="9"/>
  <c r="H19" i="9"/>
  <c r="H14" i="9"/>
  <c r="H18" i="9"/>
  <c r="H20" i="9"/>
  <c r="H10" i="9"/>
  <c r="H11" i="9"/>
  <c r="H12" i="9"/>
  <c r="H21" i="9"/>
  <c r="H15" i="9"/>
  <c r="H13" i="9"/>
  <c r="I12" i="3"/>
  <c r="J12" i="3" s="1"/>
  <c r="I9" i="3"/>
  <c r="I20" i="3"/>
  <c r="I10" i="3"/>
  <c r="I8" i="3"/>
  <c r="I15" i="3"/>
  <c r="E15" i="3"/>
  <c r="D16" i="6" s="1"/>
  <c r="C11" i="3"/>
  <c r="B12" i="6" s="1"/>
  <c r="C12" i="3"/>
  <c r="B13" i="6" s="1"/>
  <c r="C9" i="3"/>
  <c r="B10" i="6" s="1"/>
  <c r="C8" i="3"/>
  <c r="B9" i="6" s="1"/>
  <c r="C7" i="3"/>
  <c r="B8" i="6" s="1"/>
  <c r="C21" i="3"/>
  <c r="B22" i="6" s="1"/>
  <c r="C13" i="3"/>
  <c r="B14" i="6" s="1"/>
  <c r="C15" i="3"/>
  <c r="B16" i="6" s="1"/>
  <c r="C17" i="3"/>
  <c r="C14" i="3"/>
  <c r="B15" i="6" s="1"/>
  <c r="C18" i="3"/>
  <c r="B19" i="6" s="1"/>
  <c r="C19" i="3"/>
  <c r="B20" i="6" s="1"/>
  <c r="C20" i="3"/>
  <c r="B21" i="6" s="1"/>
  <c r="E21" i="3"/>
  <c r="D22" i="6" s="1"/>
  <c r="E13" i="3"/>
  <c r="D14" i="6" s="1"/>
  <c r="E14" i="3"/>
  <c r="D15" i="6" s="1"/>
  <c r="I17" i="3"/>
  <c r="J17" i="3" s="1"/>
  <c r="E11" i="3"/>
  <c r="D12" i="6" s="1"/>
  <c r="E8" i="3"/>
  <c r="D9" i="6" s="1"/>
  <c r="I13" i="3"/>
  <c r="E9" i="3"/>
  <c r="D10" i="6" s="1"/>
  <c r="I19" i="3"/>
  <c r="E19" i="3"/>
  <c r="D20" i="6" s="1"/>
  <c r="E20" i="3"/>
  <c r="D21" i="6" s="1"/>
  <c r="E12" i="3"/>
  <c r="D13" i="6" s="1"/>
  <c r="I14" i="3"/>
  <c r="E18" i="3"/>
  <c r="D19" i="6" s="1"/>
  <c r="I21" i="3"/>
  <c r="I18" i="3"/>
  <c r="J18" i="3" s="1"/>
  <c r="D18" i="6"/>
  <c r="I11" i="3"/>
  <c r="E7" i="3"/>
  <c r="D8" i="6" s="1"/>
  <c r="E10" i="3"/>
  <c r="D11" i="6" s="1"/>
  <c r="K16" i="3" l="1"/>
  <c r="H17" i="6"/>
  <c r="B18" i="6"/>
  <c r="F17" i="3"/>
  <c r="F18" i="6" s="1"/>
  <c r="B21" i="2"/>
  <c r="D24" i="6"/>
  <c r="E22" i="3"/>
  <c r="C22" i="3"/>
  <c r="J11" i="3"/>
  <c r="L12" i="6" s="1"/>
  <c r="J12" i="6"/>
  <c r="L18" i="6"/>
  <c r="J18" i="6"/>
  <c r="J15" i="3"/>
  <c r="L16" i="6" s="1"/>
  <c r="J16" i="6"/>
  <c r="J8" i="3"/>
  <c r="L9" i="6" s="1"/>
  <c r="J9" i="6"/>
  <c r="L19" i="6"/>
  <c r="J19" i="6"/>
  <c r="J10" i="3"/>
  <c r="L11" i="6" s="1"/>
  <c r="J11" i="6"/>
  <c r="J13" i="3"/>
  <c r="L14" i="6" s="1"/>
  <c r="J14" i="6"/>
  <c r="J20" i="3"/>
  <c r="L21" i="6" s="1"/>
  <c r="J21" i="6"/>
  <c r="J19" i="3"/>
  <c r="L20" i="6" s="1"/>
  <c r="J20" i="6"/>
  <c r="J14" i="3"/>
  <c r="L15" i="6" s="1"/>
  <c r="J15" i="6"/>
  <c r="J9" i="3"/>
  <c r="L10" i="6" s="1"/>
  <c r="J10" i="6"/>
  <c r="J21" i="3"/>
  <c r="L22" i="6" s="1"/>
  <c r="J22" i="6"/>
  <c r="L13" i="6"/>
  <c r="J13" i="6"/>
  <c r="D11" i="9"/>
  <c r="G13" i="7"/>
  <c r="H13" i="7" s="1"/>
  <c r="D18" i="9"/>
  <c r="G19" i="7"/>
  <c r="H19" i="7" s="1"/>
  <c r="D9" i="9"/>
  <c r="G10" i="7"/>
  <c r="H10" i="7" s="1"/>
  <c r="D13" i="9"/>
  <c r="G15" i="7"/>
  <c r="H15" i="7" s="1"/>
  <c r="D15" i="9"/>
  <c r="G17" i="7"/>
  <c r="H17" i="7" s="1"/>
  <c r="D7" i="9"/>
  <c r="G8" i="7"/>
  <c r="H8" i="7" s="1"/>
  <c r="G11" i="7"/>
  <c r="H11" i="7" s="1"/>
  <c r="D14" i="9"/>
  <c r="G16" i="7"/>
  <c r="H16" i="7" s="1"/>
  <c r="D8" i="9"/>
  <c r="G9" i="7"/>
  <c r="H9" i="7" s="1"/>
  <c r="D17" i="9"/>
  <c r="G18" i="7"/>
  <c r="H18" i="7" s="1"/>
  <c r="D12" i="9"/>
  <c r="G14" i="7"/>
  <c r="H14" i="7" s="1"/>
  <c r="G7" i="7"/>
  <c r="D19" i="9"/>
  <c r="G20" i="7"/>
  <c r="H20" i="7" s="1"/>
  <c r="D20" i="9"/>
  <c r="G21" i="7"/>
  <c r="H21" i="7" s="1"/>
  <c r="D21" i="9"/>
  <c r="G22" i="7"/>
  <c r="H22" i="7" s="1"/>
  <c r="D10" i="9"/>
  <c r="G12" i="7"/>
  <c r="H12" i="7" s="1"/>
  <c r="H22" i="9"/>
  <c r="D11" i="7"/>
  <c r="D15" i="7"/>
  <c r="D22" i="7"/>
  <c r="D20" i="7"/>
  <c r="D19" i="7"/>
  <c r="D14" i="7"/>
  <c r="D18" i="7"/>
  <c r="D16" i="7"/>
  <c r="D13" i="7"/>
  <c r="D10" i="7"/>
  <c r="D17" i="7"/>
  <c r="D9" i="7"/>
  <c r="D7" i="7"/>
  <c r="C21" i="2"/>
  <c r="D12" i="7"/>
  <c r="D21" i="7"/>
  <c r="D8" i="7"/>
  <c r="G17" i="3"/>
  <c r="G8" i="3"/>
  <c r="F15" i="3"/>
  <c r="F16" i="6" s="1"/>
  <c r="F13" i="3"/>
  <c r="F14" i="6" s="1"/>
  <c r="F8" i="3"/>
  <c r="F9" i="6" s="1"/>
  <c r="F14" i="3"/>
  <c r="F15" i="6" s="1"/>
  <c r="G15" i="3"/>
  <c r="G18" i="3"/>
  <c r="G13" i="3"/>
  <c r="I22" i="3"/>
  <c r="F10" i="3"/>
  <c r="F11" i="6" s="1"/>
  <c r="G10" i="3"/>
  <c r="F21" i="3"/>
  <c r="F22" i="6" s="1"/>
  <c r="G21" i="3"/>
  <c r="G14" i="3"/>
  <c r="F7" i="3"/>
  <c r="F8" i="6" s="1"/>
  <c r="G7" i="3"/>
  <c r="H8" i="6" s="1"/>
  <c r="G19" i="3"/>
  <c r="F19" i="3"/>
  <c r="F20" i="6" s="1"/>
  <c r="G20" i="3"/>
  <c r="F20" i="3"/>
  <c r="F21" i="6" s="1"/>
  <c r="F9" i="3"/>
  <c r="F10" i="6" s="1"/>
  <c r="G9" i="3"/>
  <c r="F12" i="3"/>
  <c r="F13" i="6" s="1"/>
  <c r="G12" i="3"/>
  <c r="G11" i="3"/>
  <c r="F11" i="3"/>
  <c r="F12" i="6" s="1"/>
  <c r="F18" i="3"/>
  <c r="F19" i="6" s="1"/>
  <c r="M16" i="3" l="1"/>
  <c r="C16" i="9"/>
  <c r="F16" i="9" s="1"/>
  <c r="K16" i="9" s="1"/>
  <c r="B24" i="6"/>
  <c r="F24" i="6"/>
  <c r="J24" i="6"/>
  <c r="L24" i="6"/>
  <c r="K11" i="3"/>
  <c r="H12" i="6"/>
  <c r="K14" i="3"/>
  <c r="H15" i="6"/>
  <c r="K8" i="3"/>
  <c r="M8" i="3" s="1"/>
  <c r="H9" i="6"/>
  <c r="K21" i="3"/>
  <c r="M21" i="3" s="1"/>
  <c r="H22" i="6"/>
  <c r="K20" i="3"/>
  <c r="M20" i="3" s="1"/>
  <c r="H21" i="6"/>
  <c r="K13" i="3"/>
  <c r="M13" i="3" s="1"/>
  <c r="H14" i="6"/>
  <c r="K17" i="3"/>
  <c r="M17" i="3" s="1"/>
  <c r="H18" i="6"/>
  <c r="K10" i="3"/>
  <c r="M10" i="3" s="1"/>
  <c r="H11" i="6"/>
  <c r="K18" i="3"/>
  <c r="M18" i="3" s="1"/>
  <c r="H19" i="6"/>
  <c r="K9" i="3"/>
  <c r="M9" i="3" s="1"/>
  <c r="H10" i="6"/>
  <c r="K19" i="3"/>
  <c r="M19" i="3" s="1"/>
  <c r="H20" i="6"/>
  <c r="K15" i="3"/>
  <c r="M15" i="3" s="1"/>
  <c r="H16" i="6"/>
  <c r="K12" i="3"/>
  <c r="M12" i="3" s="1"/>
  <c r="H13" i="6"/>
  <c r="D22" i="9"/>
  <c r="H7" i="7"/>
  <c r="H23" i="7" s="1"/>
  <c r="G23" i="7"/>
  <c r="D23" i="7"/>
  <c r="D21" i="2"/>
  <c r="K7" i="3"/>
  <c r="M7" i="3" s="1"/>
  <c r="G22" i="3"/>
  <c r="J22" i="3"/>
  <c r="F22" i="3"/>
  <c r="C16" i="7" l="1"/>
  <c r="E16" i="7" s="1"/>
  <c r="I16" i="7" s="1"/>
  <c r="M14" i="3"/>
  <c r="C13" i="7"/>
  <c r="E13" i="7" s="1"/>
  <c r="I13" i="7" s="1"/>
  <c r="M11" i="3"/>
  <c r="H24" i="6"/>
  <c r="C14" i="7"/>
  <c r="E14" i="7" s="1"/>
  <c r="I14" i="7" s="1"/>
  <c r="C12" i="7"/>
  <c r="E12" i="7" s="1"/>
  <c r="I12" i="7" s="1"/>
  <c r="C17" i="7"/>
  <c r="E17" i="7" s="1"/>
  <c r="I17" i="7" s="1"/>
  <c r="C11" i="7"/>
  <c r="E11" i="7" s="1"/>
  <c r="I11" i="7" s="1"/>
  <c r="C9" i="7"/>
  <c r="E9" i="7" s="1"/>
  <c r="I9" i="7" s="1"/>
  <c r="C20" i="7"/>
  <c r="E20" i="7" s="1"/>
  <c r="I20" i="7" s="1"/>
  <c r="C21" i="7"/>
  <c r="E21" i="7" s="1"/>
  <c r="I21" i="7" s="1"/>
  <c r="C22" i="7"/>
  <c r="E22" i="7" s="1"/>
  <c r="I22" i="7" s="1"/>
  <c r="C19" i="7"/>
  <c r="E19" i="7" s="1"/>
  <c r="I19" i="7" s="1"/>
  <c r="J19" i="9"/>
  <c r="C19" i="9"/>
  <c r="F19" i="9" s="1"/>
  <c r="J17" i="9"/>
  <c r="C17" i="9"/>
  <c r="F17" i="9" s="1"/>
  <c r="C10" i="7"/>
  <c r="E10" i="7" s="1"/>
  <c r="I10" i="7" s="1"/>
  <c r="J20" i="9"/>
  <c r="C20" i="9"/>
  <c r="F20" i="9" s="1"/>
  <c r="J12" i="9"/>
  <c r="C12" i="9"/>
  <c r="F12" i="9" s="1"/>
  <c r="J18" i="9"/>
  <c r="C18" i="9"/>
  <c r="F18" i="9" s="1"/>
  <c r="J21" i="9"/>
  <c r="C21" i="9"/>
  <c r="F21" i="9" s="1"/>
  <c r="K21" i="9" s="1"/>
  <c r="J14" i="9"/>
  <c r="C14" i="9"/>
  <c r="F14" i="9" s="1"/>
  <c r="J13" i="9"/>
  <c r="C13" i="9"/>
  <c r="F13" i="9" s="1"/>
  <c r="K13" i="9" s="1"/>
  <c r="C18" i="7"/>
  <c r="E18" i="7" s="1"/>
  <c r="I18" i="7" s="1"/>
  <c r="J15" i="9"/>
  <c r="C15" i="9"/>
  <c r="F15" i="9" s="1"/>
  <c r="J10" i="9"/>
  <c r="C10" i="9"/>
  <c r="F10" i="9" s="1"/>
  <c r="K10" i="9" s="1"/>
  <c r="J7" i="9"/>
  <c r="C7" i="9"/>
  <c r="F7" i="9" s="1"/>
  <c r="C15" i="7"/>
  <c r="E15" i="7" s="1"/>
  <c r="I15" i="7" s="1"/>
  <c r="J8" i="9"/>
  <c r="C8" i="9"/>
  <c r="F8" i="9" s="1"/>
  <c r="J11" i="9"/>
  <c r="C11" i="9"/>
  <c r="F11" i="9" s="1"/>
  <c r="J9" i="9"/>
  <c r="C9" i="9"/>
  <c r="F9" i="9" s="1"/>
  <c r="C7" i="7"/>
  <c r="E7" i="7" s="1"/>
  <c r="K22" i="3"/>
  <c r="C8" i="7"/>
  <c r="E8" i="7" s="1"/>
  <c r="I8" i="7" s="1"/>
  <c r="K17" i="9" l="1"/>
  <c r="K9" i="9"/>
  <c r="K15" i="9"/>
  <c r="K12" i="9"/>
  <c r="K20" i="9"/>
  <c r="K11" i="9"/>
  <c r="K8" i="9"/>
  <c r="K14" i="9"/>
  <c r="K19" i="9"/>
  <c r="K18" i="9"/>
  <c r="K7" i="9"/>
  <c r="F22" i="9"/>
  <c r="C22" i="9"/>
  <c r="G22" i="9"/>
  <c r="C23" i="7"/>
  <c r="I7" i="7"/>
  <c r="E23" i="7"/>
  <c r="J22" i="9" l="1"/>
</calcChain>
</file>

<file path=xl/sharedStrings.xml><?xml version="1.0" encoding="utf-8"?>
<sst xmlns="http://schemas.openxmlformats.org/spreadsheetml/2006/main" count="270" uniqueCount="141">
  <si>
    <t>Income</t>
  </si>
  <si>
    <t>Member shares</t>
  </si>
  <si>
    <t>Other income</t>
  </si>
  <si>
    <t>Expenses</t>
  </si>
  <si>
    <t>Website</t>
  </si>
  <si>
    <t>TOTAL</t>
  </si>
  <si>
    <t>Other</t>
  </si>
  <si>
    <t>b.</t>
  </si>
  <si>
    <t>c.</t>
  </si>
  <si>
    <t>d.</t>
  </si>
  <si>
    <t>OverDrive Vendor Fees</t>
  </si>
  <si>
    <t>a.</t>
  </si>
  <si>
    <t>f.</t>
  </si>
  <si>
    <t>g.</t>
  </si>
  <si>
    <t>h.</t>
  </si>
  <si>
    <t>i.</t>
  </si>
  <si>
    <t>Digital Newspaper Hosting</t>
  </si>
  <si>
    <t xml:space="preserve">Buying pool income </t>
  </si>
  <si>
    <t>Carryover*</t>
  </si>
  <si>
    <t>R &amp; D</t>
  </si>
  <si>
    <t>OverDrive Content</t>
  </si>
  <si>
    <t>Reserve/R&amp;D Fund Allocations</t>
  </si>
  <si>
    <t>Operating/project expenses</t>
  </si>
  <si>
    <t>Total expenditures in budget:</t>
  </si>
  <si>
    <t>Partner</t>
  </si>
  <si>
    <t>Difference</t>
  </si>
  <si>
    <t xml:space="preserve">Bridges </t>
  </si>
  <si>
    <t>Kenosha</t>
  </si>
  <si>
    <t>Manitowoc Calumet</t>
  </si>
  <si>
    <t>Milwaukee</t>
  </si>
  <si>
    <t>Monarch</t>
  </si>
  <si>
    <t>Nicolet</t>
  </si>
  <si>
    <t>Northern Waters</t>
  </si>
  <si>
    <t>OWLS</t>
  </si>
  <si>
    <t>South Central</t>
  </si>
  <si>
    <t>Southwest Wisconsin</t>
  </si>
  <si>
    <t>Winding Rivers</t>
  </si>
  <si>
    <t>Winnefox</t>
  </si>
  <si>
    <t>WVLS</t>
  </si>
  <si>
    <t>TOTALS</t>
  </si>
  <si>
    <t>Cost per share (rounded to nearest dollar):</t>
  </si>
  <si>
    <t>Base amount</t>
  </si>
  <si>
    <t>Base amount goes toward shared collection</t>
  </si>
  <si>
    <t>Holds reduction amount</t>
  </si>
  <si>
    <t>Holds reduction amount goes to Advantage</t>
  </si>
  <si>
    <t>Base amount**</t>
  </si>
  <si>
    <t>Overdrive Checkouts by system</t>
  </si>
  <si>
    <t>Usage</t>
  </si>
  <si>
    <t>% of usage</t>
  </si>
  <si>
    <t>% of population</t>
  </si>
  <si>
    <t>Share</t>
  </si>
  <si>
    <t>Holds placed</t>
  </si>
  <si>
    <t>% of holds placed</t>
  </si>
  <si>
    <t>Share (Advantage)</t>
  </si>
  <si>
    <t>Arrowhead Library System</t>
  </si>
  <si>
    <t>Bridges Library System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</si>
  <si>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</si>
  <si>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</si>
  <si>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</si>
  <si>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</si>
  <si>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</si>
  <si>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</si>
  <si>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</si>
  <si>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</si>
  <si>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</si>
  <si>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</si>
  <si>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</si>
  <si>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</si>
  <si>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</si>
  <si>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Totals</t>
  </si>
  <si>
    <t>**Usage weighted at 75%; population weighted at 25%</t>
  </si>
  <si>
    <t>***Holds are for InfoSoup, split by ratio of usage</t>
  </si>
  <si>
    <t>percentage</t>
  </si>
  <si>
    <t>Base Amount %</t>
  </si>
  <si>
    <t>Change</t>
  </si>
  <si>
    <t>Base Amount Share</t>
  </si>
  <si>
    <t>Holds Reduction Share</t>
  </si>
  <si>
    <t>Wisconsin Valley Library Service</t>
  </si>
  <si>
    <t>Outagamie Waupaca Library System</t>
  </si>
  <si>
    <t>Nicolet Federated Library System</t>
  </si>
  <si>
    <t>in Total</t>
  </si>
  <si>
    <t>Total</t>
  </si>
  <si>
    <t>Buying pool</t>
  </si>
  <si>
    <t xml:space="preserve">Member shares </t>
  </si>
  <si>
    <t>Buying Pool</t>
  </si>
  <si>
    <t>Buying Pool Total</t>
  </si>
  <si>
    <t>IFLS</t>
  </si>
  <si>
    <t>IFLS Library System</t>
  </si>
  <si>
    <t>Population*</t>
  </si>
  <si>
    <t>Magazine amount</t>
  </si>
  <si>
    <t>Population</t>
  </si>
  <si>
    <t>Total Magazine Cost</t>
  </si>
  <si>
    <t>Magazine Cost</t>
  </si>
  <si>
    <t>Magazine Costs</t>
  </si>
  <si>
    <t>j.</t>
  </si>
  <si>
    <t>k.</t>
  </si>
  <si>
    <t>KEY</t>
  </si>
  <si>
    <t>2023 budget</t>
  </si>
  <si>
    <t>Magazine Share</t>
  </si>
  <si>
    <t>2023 sources/information</t>
  </si>
  <si>
    <t xml:space="preserve">*Extended county population from DPI </t>
  </si>
  <si>
    <t>2024 budget</t>
  </si>
  <si>
    <t xml:space="preserve">Partner shares </t>
  </si>
  <si>
    <t>2024 Partner Shares</t>
  </si>
  <si>
    <t>2023 Partner Shares</t>
  </si>
  <si>
    <t>2024 Magazine Costs - using buying pool formula (25% population and 75% usage)</t>
  </si>
  <si>
    <t>2024 sources/information</t>
  </si>
  <si>
    <t>WiLS Rates 2023-2024</t>
  </si>
  <si>
    <t>Rate Type</t>
  </si>
  <si>
    <t>Standard</t>
  </si>
  <si>
    <t>Professional</t>
  </si>
  <si>
    <t>Total Cost</t>
  </si>
  <si>
    <t>Cost per hour</t>
  </si>
  <si>
    <t>Potential Increase suggestions for 2024</t>
  </si>
  <si>
    <t>Percentage</t>
  </si>
  <si>
    <t>Program management</t>
  </si>
  <si>
    <t>Reserve</t>
  </si>
  <si>
    <t>Usage W/o Advantage</t>
  </si>
  <si>
    <t>Nicolet 2022 circulation: 442,420</t>
  </si>
  <si>
    <t>OWLS 2022 circulation: 261,272</t>
  </si>
  <si>
    <t>Total circulations: 703,692</t>
  </si>
  <si>
    <t>Percentage of Nicolet circulation: 62.9%</t>
  </si>
  <si>
    <t>Percentage of OWLS circulation: 37.1%</t>
  </si>
  <si>
    <t>Total holds: 397,101</t>
  </si>
  <si>
    <t>62.9% (for Nicolet) of holds: 249,662</t>
  </si>
  <si>
    <t>37.1% (for OWLS) of holds: 147,439</t>
  </si>
  <si>
    <t>ContentDM Hosting**</t>
  </si>
  <si>
    <t>**CONTENTdm hosting will be paid for by Milwaukee Public Library for 2023</t>
  </si>
  <si>
    <t>System</t>
  </si>
  <si>
    <t>Project Management hours and cost in 2023</t>
  </si>
  <si>
    <t>projected hours</t>
  </si>
  <si>
    <t>*We do not assume any carryover in our budget. As of 2/28/2023, there is $59,000 in R&amp;D and $48,758.80 in Reserve.</t>
  </si>
  <si>
    <t>(2022 hours were 1145)</t>
  </si>
  <si>
    <t>Prairie Lakes Library System*</t>
  </si>
  <si>
    <t>*2023 shows ALS and LLS combined</t>
  </si>
  <si>
    <t>2023 ALS &amp; LLS Numbers</t>
  </si>
  <si>
    <t>Combined</t>
  </si>
  <si>
    <t>Prairie Lakes*</t>
  </si>
  <si>
    <t>Prairie Lakes Library System****</t>
  </si>
  <si>
    <t>****2023 shows ALS and LLS combined</t>
  </si>
  <si>
    <t>Holds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</si>
</sst>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7" fillId="0" borderId="0" xfId="0" applyFont="1" applyAlignment="1">
      <alignment wrapText="1"/>
    </xf>
    <xf numFmtId="0" fontId="10" fillId="0" borderId="0" xfId="0" applyFont="1" applyAlignment="1">
      <alignment wrapText="1"/>
    </xf>
    <xf numFmtId="165" fontId="14" fillId="0" borderId="0" xfId="5" applyNumberFormat="1" applyFont="1" applyFill="1"/>
    <xf numFmtId="0" fontId="17" fillId="0" borderId="0" xfId="0" applyFont="1"/>
    <xf numFmtId="44" fontId="0" fillId="0" borderId="0" xfId="0" applyNumberFormat="1"/>
    <xf numFmtId="3" fontId="13" fillId="0" borderId="0" xfId="3" quotePrefix="1" applyNumberFormat="1" applyFont="1" applyFill="1" applyAlignment="1">
      <alignment horizontal="right"/>
    </xf>
    <xf numFmtId="44" fontId="17" fillId="0" borderId="0" xfId="0" applyNumberFormat="1" applyFont="1"/>
    <xf numFmtId="165" fontId="0" fillId="0" borderId="0" xfId="0" applyNumberFormat="1"/>
    <xf numFmtId="165" fontId="14" fillId="2" borderId="0" xfId="5" applyNumberFormat="1" applyFont="1" applyFill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165" fontId="0" fillId="3" borderId="0" xfId="0" applyNumberFormat="1" applyFill="1"/>
    <xf numFmtId="3" fontId="0" fillId="0" borderId="0" xfId="0" applyNumberFormat="1"/>
    <xf numFmtId="0" fontId="12" fillId="0" borderId="2" xfId="8" applyFont="1" applyBorder="1" applyAlignment="1" applyProtection="1">
      <alignment wrapText="1"/>
    </xf>
    <xf numFmtId="0" fontId="12" fillId="0" borderId="3" xfId="8" applyFont="1" applyBorder="1" applyAlignment="1" applyProtection="1">
      <alignment wrapText="1"/>
    </xf>
    <xf numFmtId="167" fontId="14" fillId="0" borderId="0" xfId="1" applyNumberFormat="1" applyFont="1" applyBorder="1"/>
    <xf numFmtId="168" fontId="14" fillId="0" borderId="0" xfId="11" applyNumberFormat="1" applyFont="1" applyBorder="1"/>
    <xf numFmtId="0" fontId="18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168" fontId="14" fillId="0" borderId="0" xfId="13" applyNumberFormat="1" applyFont="1" applyBorder="1"/>
    <xf numFmtId="0" fontId="12" fillId="0" borderId="0" xfId="8" applyFont="1" applyBorder="1" applyAlignment="1" applyProtection="1">
      <alignment wrapText="1"/>
    </xf>
    <xf numFmtId="168" fontId="0" fillId="0" borderId="0" xfId="0" applyNumberFormat="1"/>
    <xf numFmtId="168" fontId="14" fillId="2" borderId="0" xfId="11" applyNumberFormat="1" applyFont="1" applyFill="1" applyBorder="1"/>
    <xf numFmtId="0" fontId="0" fillId="3" borderId="4" xfId="0" applyFill="1" applyBorder="1" applyAlignment="1">
      <alignment wrapText="1"/>
    </xf>
    <xf numFmtId="168" fontId="14" fillId="3" borderId="0" xfId="11" applyNumberFormat="1" applyFont="1" applyFill="1" applyBorder="1"/>
    <xf numFmtId="165" fontId="14" fillId="0" borderId="0" xfId="4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14" fillId="3" borderId="0" xfId="4" applyNumberFormat="1" applyFont="1" applyFill="1"/>
    <xf numFmtId="165" fontId="14" fillId="2" borderId="0" xfId="4" applyNumberFormat="1" applyFont="1" applyFill="1" applyBorder="1"/>
    <xf numFmtId="0" fontId="0" fillId="2" borderId="9" xfId="0" applyFill="1" applyBorder="1" applyAlignment="1">
      <alignment wrapText="1"/>
    </xf>
    <xf numFmtId="6" fontId="0" fillId="0" borderId="0" xfId="0" applyNumberFormat="1"/>
    <xf numFmtId="167" fontId="14" fillId="0" borderId="0" xfId="2" applyNumberFormat="1" applyFont="1" applyBorder="1"/>
    <xf numFmtId="10" fontId="22" fillId="0" borderId="0" xfId="0" applyNumberFormat="1" applyFont="1"/>
    <xf numFmtId="44" fontId="22" fillId="0" borderId="0" xfId="0" applyNumberFormat="1" applyFont="1"/>
    <xf numFmtId="9" fontId="14" fillId="0" borderId="0" xfId="11" applyFont="1" applyBorder="1"/>
    <xf numFmtId="0" fontId="17" fillId="0" borderId="1" xfId="0" applyFont="1" applyBorder="1"/>
    <xf numFmtId="165" fontId="17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22" fillId="0" borderId="1" xfId="0" applyFont="1" applyBorder="1"/>
    <xf numFmtId="0" fontId="20" fillId="0" borderId="0" xfId="0" applyFont="1" applyAlignment="1">
      <alignment horizontal="center"/>
    </xf>
    <xf numFmtId="9" fontId="14" fillId="0" borderId="0" xfId="10" applyFont="1"/>
    <xf numFmtId="9" fontId="14" fillId="0" borderId="0" xfId="10" applyFont="1" applyBorder="1"/>
    <xf numFmtId="165" fontId="22" fillId="0" borderId="0" xfId="10" applyNumberFormat="1" applyFont="1" applyBorder="1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17" fillId="0" borderId="0" xfId="0" applyFont="1" applyAlignment="1">
      <alignment horizontal="left"/>
    </xf>
    <xf numFmtId="0" fontId="17" fillId="3" borderId="0" xfId="0" applyFont="1" applyFill="1"/>
    <xf numFmtId="165" fontId="14" fillId="3" borderId="0" xfId="5" applyNumberFormat="1" applyFont="1" applyFill="1"/>
    <xf numFmtId="168" fontId="14" fillId="0" borderId="0" xfId="10" applyNumberFormat="1" applyFont="1" applyFill="1" applyBorder="1"/>
    <xf numFmtId="168" fontId="14" fillId="0" borderId="0" xfId="13" applyNumberFormat="1" applyFont="1" applyFill="1" applyBorder="1"/>
    <xf numFmtId="165" fontId="14" fillId="3" borderId="0" xfId="4" applyNumberFormat="1" applyFont="1" applyFill="1" applyBorder="1"/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166" fontId="0" fillId="0" borderId="0" xfId="0" applyNumberFormat="1"/>
    <xf numFmtId="166" fontId="4" fillId="0" borderId="0" xfId="0" applyNumberFormat="1" applyFont="1" applyAlignment="1">
      <alignment wrapText="1"/>
    </xf>
    <xf numFmtId="166" fontId="14" fillId="0" borderId="0" xfId="4" applyNumberFormat="1" applyFont="1" applyFill="1" applyAlignment="1">
      <alignment wrapText="1"/>
    </xf>
    <xf numFmtId="166" fontId="14" fillId="0" borderId="0" xfId="4" applyNumberFormat="1" applyFont="1" applyFill="1" applyAlignment="1">
      <alignment horizontal="right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165" fontId="17" fillId="3" borderId="0" xfId="5" applyNumberFormat="1" applyFont="1" applyFill="1"/>
    <xf numFmtId="0" fontId="10" fillId="0" borderId="0" xfId="0" applyFont="1" applyAlignment="1">
      <alignment horizontal="center"/>
    </xf>
    <xf numFmtId="0" fontId="9" fillId="0" borderId="0" xfId="0" applyFont="1"/>
    <xf numFmtId="6" fontId="4" fillId="0" borderId="0" xfId="0" applyNumberFormat="1" applyFont="1"/>
    <xf numFmtId="0" fontId="6" fillId="0" borderId="0" xfId="0" applyFont="1"/>
    <xf numFmtId="44" fontId="7" fillId="0" borderId="0" xfId="4" applyFont="1" applyBorder="1"/>
    <xf numFmtId="6" fontId="9" fillId="0" borderId="0" xfId="4" applyNumberFormat="1" applyFont="1" applyBorder="1"/>
    <xf numFmtId="164" fontId="7" fillId="0" borderId="0" xfId="4" applyNumberFormat="1" applyFont="1" applyBorder="1"/>
    <xf numFmtId="166" fontId="6" fillId="0" borderId="0" xfId="0" applyNumberFormat="1" applyFont="1"/>
    <xf numFmtId="10" fontId="7" fillId="0" borderId="0" xfId="4" applyNumberFormat="1" applyFont="1" applyBorder="1"/>
    <xf numFmtId="164" fontId="1" fillId="0" borderId="0" xfId="4" applyNumberFormat="1" applyFont="1" applyBorder="1"/>
    <xf numFmtId="165" fontId="17" fillId="0" borderId="0" xfId="6" applyNumberFormat="1" applyFont="1" applyFill="1" applyBorder="1"/>
    <xf numFmtId="0" fontId="21" fillId="0" borderId="0" xfId="0" applyFont="1"/>
    <xf numFmtId="0" fontId="17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vertical="top"/>
    </xf>
    <xf numFmtId="165" fontId="22" fillId="0" borderId="0" xfId="13" applyNumberFormat="1" applyFont="1" applyBorder="1"/>
    <xf numFmtId="0" fontId="1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165" fontId="14" fillId="0" borderId="0" xfId="6" applyNumberFormat="1" applyFont="1" applyFill="1" applyBorder="1"/>
    <xf numFmtId="0" fontId="20" fillId="0" borderId="1" xfId="0" applyFont="1" applyBorder="1"/>
    <xf numFmtId="165" fontId="14" fillId="3" borderId="0" xfId="4" applyNumberFormat="1" applyFont="1" applyFill="1" applyBorder="1" applyAlignment="1"/>
    <xf numFmtId="165" fontId="14" fillId="3" borderId="0" xfId="5" applyNumberFormat="1" applyFont="1" applyFill="1" applyAlignment="1"/>
    <xf numFmtId="0" fontId="12" fillId="0" borderId="2" xfId="8" applyFont="1" applyBorder="1" applyAlignment="1" applyProtection="1"/>
    <xf numFmtId="0" fontId="12" fillId="0" borderId="3" xfId="8" applyFont="1" applyBorder="1" applyAlignment="1" applyProtection="1"/>
    <xf numFmtId="0" fontId="0" fillId="3" borderId="5" xfId="0" applyFill="1" applyBorder="1"/>
    <xf numFmtId="0" fontId="17" fillId="0" borderId="7" xfId="0" applyFont="1" applyBorder="1"/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165" fontId="17" fillId="2" borderId="0" xfId="5" applyNumberFormat="1" applyFont="1" applyFill="1"/>
    <xf numFmtId="168" fontId="14" fillId="3" borderId="0" xfId="13" applyNumberFormat="1" applyFont="1" applyFill="1" applyBorder="1"/>
    <xf numFmtId="0" fontId="0" fillId="3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7" fillId="0" borderId="0" xfId="0" applyFont="1" applyAlignment="1">
      <alignment horizontal="center" wrapText="1"/>
    </xf>
    <xf numFmtId="0" fontId="25" fillId="0" borderId="10" xfId="0" applyFont="1" applyBorder="1"/>
    <xf numFmtId="165" fontId="25" fillId="0" borderId="10" xfId="0" applyNumberFormat="1" applyFont="1" applyBorder="1"/>
    <xf numFmtId="0" fontId="23" fillId="0" borderId="0" xfId="0" applyFont="1"/>
    <xf numFmtId="0" fontId="18" fillId="0" borderId="0" xfId="0" applyFont="1" applyAlignment="1">
      <alignment vertical="top" wrapText="1"/>
    </xf>
    <xf numFmtId="164" fontId="18" fillId="0" borderId="0" xfId="0" applyNumberFormat="1" applyFont="1"/>
    <xf numFmtId="0" fontId="18" fillId="0" borderId="0" xfId="0" applyFont="1" applyAlignment="1">
      <alignment vertical="top"/>
    </xf>
    <xf numFmtId="165" fontId="14" fillId="4" borderId="0" xfId="4" applyNumberFormat="1" applyFont="1" applyFill="1" applyBorder="1" applyAlignment="1"/>
    <xf numFmtId="165" fontId="14" fillId="4" borderId="0" xfId="5" applyNumberFormat="1" applyFont="1" applyFill="1" applyAlignment="1"/>
    <xf numFmtId="0" fontId="0" fillId="4" borderId="7" xfId="0" applyFill="1" applyBorder="1"/>
    <xf numFmtId="0" fontId="17" fillId="4" borderId="0" xfId="0" applyFont="1" applyFill="1"/>
    <xf numFmtId="165" fontId="14" fillId="4" borderId="0" xfId="5" applyNumberFormat="1" applyFont="1" applyFill="1"/>
    <xf numFmtId="44" fontId="17" fillId="4" borderId="0" xfId="5" applyFont="1" applyFill="1"/>
    <xf numFmtId="0" fontId="18" fillId="0" borderId="0" xfId="0" applyFont="1"/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8" fontId="0" fillId="0" borderId="0" xfId="0" applyNumberFormat="1" applyAlignment="1">
      <alignment vertical="top" wrapText="1"/>
    </xf>
    <xf numFmtId="9" fontId="0" fillId="0" borderId="0" xfId="0" applyNumberFormat="1"/>
    <xf numFmtId="166" fontId="14" fillId="0" borderId="0" xfId="5" applyNumberFormat="1" applyFont="1" applyFill="1" applyAlignment="1">
      <alignment wrapText="1"/>
    </xf>
    <xf numFmtId="0" fontId="17" fillId="5" borderId="0" xfId="0" applyFont="1" applyFill="1" applyAlignment="1">
      <alignment horizontal="center"/>
    </xf>
    <xf numFmtId="0" fontId="17" fillId="5" borderId="1" xfId="0" applyFont="1" applyFill="1" applyBorder="1" applyAlignment="1">
      <alignment horizontal="center"/>
    </xf>
    <xf numFmtId="165" fontId="0" fillId="5" borderId="0" xfId="0" applyNumberFormat="1" applyFill="1"/>
    <xf numFmtId="44" fontId="0" fillId="5" borderId="0" xfId="0" applyNumberFormat="1" applyFill="1"/>
    <xf numFmtId="167" fontId="21" fillId="0" borderId="0" xfId="2" applyNumberFormat="1" applyFont="1" applyFill="1" applyBorder="1"/>
    <xf numFmtId="167" fontId="21" fillId="0" borderId="0" xfId="1" applyNumberFormat="1" applyFont="1" applyBorder="1"/>
    <xf numFmtId="0" fontId="20" fillId="0" borderId="1" xfId="0" applyFont="1" applyBorder="1" applyAlignment="1">
      <alignment horizontal="center"/>
    </xf>
    <xf numFmtId="167" fontId="21" fillId="0" borderId="0" xfId="2" applyNumberFormat="1" applyFont="1" applyBorder="1"/>
    <xf numFmtId="168" fontId="21" fillId="0" borderId="0" xfId="11" applyNumberFormat="1" applyFont="1" applyBorder="1"/>
    <xf numFmtId="3" fontId="21" fillId="0" borderId="0" xfId="0" applyNumberFormat="1" applyFont="1"/>
    <xf numFmtId="165" fontId="0" fillId="2" borderId="0" xfId="4" applyNumberFormat="1" applyFont="1" applyFill="1" applyBorder="1"/>
    <xf numFmtId="165" fontId="0" fillId="3" borderId="0" xfId="5" applyNumberFormat="1" applyFont="1" applyFill="1"/>
    <xf numFmtId="165" fontId="0" fillId="3" borderId="0" xfId="4" applyNumberFormat="1" applyFont="1" applyFill="1" applyBorder="1" applyAlignment="1"/>
    <xf numFmtId="165" fontId="0" fillId="3" borderId="0" xfId="5" applyNumberFormat="1" applyFont="1" applyFill="1" applyAlignment="1"/>
    <xf numFmtId="168" fontId="0" fillId="3" borderId="0" xfId="11" applyNumberFormat="1" applyFont="1" applyFill="1" applyBorder="1"/>
    <xf numFmtId="168" fontId="0" fillId="3" borderId="0" xfId="13" applyNumberFormat="1" applyFont="1" applyFill="1" applyBorder="1"/>
    <xf numFmtId="165" fontId="0" fillId="3" borderId="0" xfId="4" applyNumberFormat="1" applyFont="1" applyFill="1" applyBorder="1"/>
    <xf numFmtId="165" fontId="0" fillId="3" borderId="0" xfId="4" applyNumberFormat="1" applyFont="1" applyFill="1"/>
    <xf numFmtId="166" fontId="21" fillId="6" borderId="0" xfId="4" applyNumberFormat="1" applyFont="1" applyFill="1" applyAlignment="1">
      <alignment wrapText="1"/>
    </xf>
    <xf numFmtId="166" fontId="21" fillId="6" borderId="0" xfId="4" applyNumberFormat="1" applyFont="1" applyFill="1" applyAlignment="1">
      <alignment horizontal="right" wrapText="1"/>
    </xf>
    <xf numFmtId="166" fontId="0" fillId="6" borderId="0" xfId="0" applyNumberFormat="1" applyFill="1" applyAlignment="1">
      <alignment wrapText="1"/>
    </xf>
    <xf numFmtId="166" fontId="21" fillId="0" borderId="0" xfId="0" applyNumberFormat="1" applyFont="1" applyAlignment="1">
      <alignment wrapText="1"/>
    </xf>
    <xf numFmtId="165" fontId="0" fillId="0" borderId="0" xfId="5" applyNumberFormat="1" applyFont="1" applyFill="1" applyAlignment="1"/>
    <xf numFmtId="165" fontId="22" fillId="0" borderId="0" xfId="0" applyNumberFormat="1" applyFont="1" applyAlignment="1">
      <alignment horizontal="left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25" fillId="0" borderId="13" xfId="0" applyFont="1" applyBorder="1"/>
    <xf numFmtId="0" fontId="25" fillId="0" borderId="0" xfId="0" applyFont="1" applyBorder="1"/>
    <xf numFmtId="0" fontId="25" fillId="0" borderId="14" xfId="0" applyFont="1" applyBorder="1"/>
    <xf numFmtId="0" fontId="0" fillId="0" borderId="15" xfId="0" applyFill="1" applyBorder="1"/>
    <xf numFmtId="0" fontId="17" fillId="0" borderId="0" xfId="0" applyFont="1" applyBorder="1" applyAlignment="1"/>
    <xf numFmtId="0" fontId="17" fillId="0" borderId="14" xfId="0" applyFont="1" applyBorder="1" applyAlignment="1">
      <alignment horizontal="center"/>
    </xf>
    <xf numFmtId="165" fontId="0" fillId="0" borderId="14" xfId="4" applyNumberFormat="1" applyFont="1" applyBorder="1"/>
    <xf numFmtId="165" fontId="0" fillId="0" borderId="16" xfId="0" applyNumberFormat="1" applyBorder="1"/>
    <xf numFmtId="0" fontId="21" fillId="7" borderId="18" xfId="0" applyFont="1" applyFill="1" applyBorder="1" applyAlignment="1">
      <alignment wrapText="1"/>
    </xf>
    <xf numFmtId="0" fontId="21" fillId="7" borderId="19" xfId="0" applyFont="1" applyFill="1" applyBorder="1" applyAlignment="1">
      <alignment wrapText="1"/>
    </xf>
    <xf numFmtId="0" fontId="23" fillId="7" borderId="19" xfId="0" applyFont="1" applyFill="1" applyBorder="1" applyAlignment="1">
      <alignment wrapText="1"/>
    </xf>
    <xf numFmtId="0" fontId="21" fillId="7" borderId="17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8" borderId="11" xfId="0" applyFill="1" applyBorder="1"/>
    <xf numFmtId="0" fontId="0" fillId="8" borderId="12" xfId="0" applyFill="1" applyBorder="1"/>
    <xf numFmtId="0" fontId="25" fillId="8" borderId="13" xfId="0" applyFont="1" applyFill="1" applyBorder="1"/>
    <xf numFmtId="0" fontId="25" fillId="8" borderId="14" xfId="0" applyFont="1" applyFill="1" applyBorder="1"/>
    <xf numFmtId="0" fontId="0" fillId="8" borderId="13" xfId="0" applyFill="1" applyBorder="1"/>
    <xf numFmtId="0" fontId="0" fillId="8" borderId="15" xfId="0" applyFill="1" applyBorder="1"/>
    <xf numFmtId="165" fontId="0" fillId="8" borderId="14" xfId="4" applyNumberFormat="1" applyFont="1" applyFill="1" applyBorder="1"/>
    <xf numFmtId="165" fontId="0" fillId="8" borderId="16" xfId="4" applyNumberFormat="1" applyFont="1" applyFill="1" applyBorder="1"/>
    <xf numFmtId="165" fontId="0" fillId="0" borderId="16" xfId="4" applyNumberFormat="1" applyFont="1" applyBorder="1"/>
    <xf numFmtId="165" fontId="0" fillId="0" borderId="0" xfId="4" applyNumberFormat="1" applyFont="1" applyBorder="1"/>
    <xf numFmtId="165" fontId="0" fillId="0" borderId="1" xfId="4" applyNumberFormat="1" applyFont="1" applyBorder="1"/>
    <xf numFmtId="0" fontId="18" fillId="0" borderId="10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0" xfId="0" applyFont="1" applyBorder="1"/>
    <xf numFmtId="0" fontId="21" fillId="0" borderId="14" xfId="0" applyFont="1" applyBorder="1"/>
    <xf numFmtId="0" fontId="21" fillId="0" borderId="13" xfId="0" applyFont="1" applyBorder="1"/>
    <xf numFmtId="168" fontId="21" fillId="0" borderId="0" xfId="10" applyNumberFormat="1" applyFont="1" applyBorder="1"/>
    <xf numFmtId="165" fontId="21" fillId="0" borderId="0" xfId="4" applyNumberFormat="1" applyFont="1" applyBorder="1"/>
    <xf numFmtId="165" fontId="21" fillId="0" borderId="14" xfId="4" applyNumberFormat="1" applyFont="1" applyBorder="1"/>
    <xf numFmtId="168" fontId="0" fillId="0" borderId="1" xfId="10" applyNumberFormat="1" applyFont="1" applyBorder="1"/>
    <xf numFmtId="165" fontId="0" fillId="0" borderId="1" xfId="0" applyNumberFormat="1" applyBorder="1"/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22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1" xfId="0" applyFont="1" applyBorder="1" applyAlignment="1">
      <alignment horizontal="center"/>
    </xf>
  </cellXfs>
  <cellStyles count="14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Currency 4" xfId="7" xr:uid="{00000000-0005-0000-0000-000006000000}"/>
    <cellStyle name="Hyperlink" xfId="8" builtinId="8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3" xfId="12" xr:uid="{00000000-0005-0000-0000-00000C000000}"/>
    <cellStyle name="Percent 4" xfId="13" xr:uid="{00000000-0005-0000-0000-00000D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2"/>
  <sheetViews>
    <sheetView tabSelected="1" view="pageLayout" zoomScaleNormal="100" workbookViewId="0">
      <selection activeCell="B13" sqref="B13"/>
    </sheetView>
  </sheetViews>
  <sheetFormatPr defaultRowHeight="14.4" x14ac:dyDescent="0.3"/>
  <cols>
    <col min="1" max="1" width="3.6640625" bestFit="1" customWidth="1"/>
    <col min="2" max="2" width="50.33203125" style="1" customWidth="1"/>
    <col min="3" max="3" width="22.44140625" style="1" customWidth="1"/>
    <col min="4" max="4" width="20.6640625" style="1" customWidth="1"/>
    <col min="5" max="5" width="15.5546875" bestFit="1" customWidth="1"/>
    <col min="6" max="6" width="14" bestFit="1" customWidth="1"/>
    <col min="7" max="7" width="13.33203125" bestFit="1" customWidth="1"/>
    <col min="8" max="9" width="13.33203125" customWidth="1"/>
    <col min="10" max="10" width="54.6640625" style="1" customWidth="1"/>
  </cols>
  <sheetData>
    <row r="2" spans="1:10" ht="18" x14ac:dyDescent="0.35">
      <c r="C2" s="66" t="s">
        <v>101</v>
      </c>
      <c r="D2" s="66" t="s">
        <v>97</v>
      </c>
      <c r="E2" s="10"/>
    </row>
    <row r="3" spans="1:10" ht="18" x14ac:dyDescent="0.35">
      <c r="C3" s="67"/>
      <c r="D3" s="67"/>
      <c r="E3" s="75"/>
      <c r="F3" s="75"/>
      <c r="H3" s="76"/>
      <c r="I3" s="76"/>
    </row>
    <row r="4" spans="1:10" ht="15.6" x14ac:dyDescent="0.3">
      <c r="C4" s="3"/>
      <c r="D4" s="3"/>
      <c r="E4" s="2"/>
      <c r="F4" s="2"/>
      <c r="G4" s="2"/>
      <c r="H4" s="77"/>
      <c r="I4" s="78"/>
      <c r="J4" s="3"/>
    </row>
    <row r="5" spans="1:10" ht="18" x14ac:dyDescent="0.35">
      <c r="B5" s="8" t="s">
        <v>0</v>
      </c>
      <c r="F5" s="79"/>
      <c r="G5" s="79"/>
      <c r="H5" s="80"/>
      <c r="I5" s="79"/>
    </row>
    <row r="6" spans="1:10" ht="19.5" customHeight="1" x14ac:dyDescent="0.3">
      <c r="A6" t="s">
        <v>11</v>
      </c>
      <c r="B6" s="1" t="s">
        <v>18</v>
      </c>
      <c r="C6" s="6"/>
      <c r="D6" s="6">
        <v>0</v>
      </c>
      <c r="E6" s="81"/>
      <c r="F6" s="81"/>
      <c r="G6" s="81"/>
      <c r="H6" s="81"/>
      <c r="I6" s="81"/>
    </row>
    <row r="7" spans="1:10" ht="17.25" customHeight="1" x14ac:dyDescent="0.3">
      <c r="A7" t="s">
        <v>7</v>
      </c>
      <c r="B7" s="1" t="s">
        <v>1</v>
      </c>
      <c r="C7" s="68">
        <f>SUM(C16:C17,C20:C22,C25:C27)</f>
        <v>115729.5</v>
      </c>
      <c r="D7" s="68">
        <f>SUM(D16:D17,D20:D22,D25:D27)</f>
        <v>111250</v>
      </c>
      <c r="E7" s="81"/>
      <c r="F7" s="81"/>
      <c r="G7" s="81"/>
      <c r="H7" s="81"/>
      <c r="I7" s="81"/>
    </row>
    <row r="8" spans="1:10" x14ac:dyDescent="0.3">
      <c r="A8" t="s">
        <v>8</v>
      </c>
      <c r="B8" s="1" t="s">
        <v>17</v>
      </c>
      <c r="C8" s="6">
        <v>1474388</v>
      </c>
      <c r="D8" s="6">
        <v>1407666</v>
      </c>
      <c r="E8" s="81"/>
      <c r="F8" s="81"/>
      <c r="G8" s="81"/>
      <c r="H8" s="81"/>
      <c r="I8" s="81"/>
    </row>
    <row r="9" spans="1:10" x14ac:dyDescent="0.3">
      <c r="A9" t="s">
        <v>9</v>
      </c>
      <c r="B9" s="1" t="s">
        <v>93</v>
      </c>
      <c r="C9" s="6">
        <v>100000</v>
      </c>
      <c r="D9" s="6">
        <v>80000</v>
      </c>
      <c r="E9" s="81"/>
      <c r="F9" s="81"/>
      <c r="G9" s="81"/>
      <c r="H9" s="81"/>
      <c r="I9" s="81"/>
    </row>
    <row r="10" spans="1:10" ht="19.5" customHeight="1" x14ac:dyDescent="0.3">
      <c r="A10" t="s">
        <v>12</v>
      </c>
      <c r="B10" s="1" t="s">
        <v>2</v>
      </c>
      <c r="C10" s="6"/>
      <c r="D10" s="6">
        <v>0</v>
      </c>
      <c r="E10" s="81"/>
      <c r="F10" s="81"/>
      <c r="G10" s="81"/>
      <c r="H10" s="81"/>
      <c r="I10" s="81"/>
    </row>
    <row r="11" spans="1:10" x14ac:dyDescent="0.3">
      <c r="B11" s="4" t="s">
        <v>5</v>
      </c>
      <c r="C11" s="68">
        <f>SUM(C6:C10)</f>
        <v>1690117.5</v>
      </c>
      <c r="D11" s="68">
        <f>SUM(D6:D10)</f>
        <v>1598916</v>
      </c>
      <c r="E11" s="81"/>
      <c r="F11" s="81"/>
      <c r="G11" s="81"/>
      <c r="H11" s="81"/>
      <c r="I11" s="81"/>
    </row>
    <row r="12" spans="1:10" ht="18" customHeight="1" x14ac:dyDescent="0.3">
      <c r="C12" s="6"/>
      <c r="D12" s="6"/>
      <c r="E12" s="73"/>
      <c r="F12" s="73"/>
      <c r="G12" s="73"/>
      <c r="H12" s="73"/>
      <c r="I12" s="73"/>
    </row>
    <row r="13" spans="1:10" ht="18" x14ac:dyDescent="0.35">
      <c r="A13" s="2"/>
      <c r="B13" s="8" t="s">
        <v>3</v>
      </c>
      <c r="C13" s="69"/>
      <c r="D13" s="69"/>
    </row>
    <row r="14" spans="1:10" ht="15.6" x14ac:dyDescent="0.3">
      <c r="A14" s="2"/>
      <c r="B14" s="3"/>
      <c r="C14" s="69"/>
      <c r="D14" s="69"/>
    </row>
    <row r="15" spans="1:10" s="2" customFormat="1" ht="15.6" x14ac:dyDescent="0.3">
      <c r="B15" s="7" t="s">
        <v>22</v>
      </c>
      <c r="C15" s="69"/>
      <c r="D15" s="69"/>
      <c r="G15" s="3"/>
      <c r="H15" s="3"/>
      <c r="J15" s="3"/>
    </row>
    <row r="16" spans="1:10" x14ac:dyDescent="0.3">
      <c r="A16" t="s">
        <v>11</v>
      </c>
      <c r="B16" s="1" t="s">
        <v>115</v>
      </c>
      <c r="C16" s="124">
        <v>77962.5</v>
      </c>
      <c r="D16" s="70">
        <v>74250</v>
      </c>
      <c r="E16" s="81"/>
      <c r="F16" s="81"/>
      <c r="G16" s="83"/>
      <c r="H16" s="83"/>
      <c r="I16" s="83"/>
    </row>
    <row r="17" spans="1:10" ht="15" customHeight="1" x14ac:dyDescent="0.3">
      <c r="A17" t="s">
        <v>7</v>
      </c>
      <c r="B17" s="1" t="s">
        <v>10</v>
      </c>
      <c r="C17" s="70">
        <v>18000</v>
      </c>
      <c r="D17" s="70">
        <v>18000</v>
      </c>
      <c r="E17" s="81"/>
      <c r="F17" s="81"/>
      <c r="G17" s="83"/>
      <c r="H17" s="83"/>
      <c r="I17" s="83"/>
    </row>
    <row r="18" spans="1:10" x14ac:dyDescent="0.3">
      <c r="A18" t="s">
        <v>8</v>
      </c>
      <c r="B18" s="1" t="s">
        <v>20</v>
      </c>
      <c r="C18" s="6">
        <v>1474388</v>
      </c>
      <c r="D18" s="6">
        <v>1407666</v>
      </c>
      <c r="E18" s="81"/>
      <c r="F18" s="81"/>
      <c r="G18" s="83"/>
      <c r="H18" s="83"/>
      <c r="I18" s="83"/>
    </row>
    <row r="19" spans="1:10" x14ac:dyDescent="0.3">
      <c r="A19" t="s">
        <v>9</v>
      </c>
      <c r="B19" s="1" t="s">
        <v>93</v>
      </c>
      <c r="C19" s="145">
        <v>100000</v>
      </c>
      <c r="D19" s="146">
        <v>80000</v>
      </c>
      <c r="E19" s="81"/>
      <c r="F19" s="81"/>
      <c r="G19" s="83"/>
      <c r="H19" s="83"/>
      <c r="I19" s="83"/>
    </row>
    <row r="20" spans="1:10" x14ac:dyDescent="0.3">
      <c r="A20" t="s">
        <v>12</v>
      </c>
      <c r="B20" s="1" t="s">
        <v>16</v>
      </c>
      <c r="C20" s="68">
        <v>0</v>
      </c>
      <c r="D20" s="68">
        <v>3000</v>
      </c>
      <c r="E20" s="81"/>
      <c r="F20" s="81"/>
      <c r="G20" s="83"/>
      <c r="H20" s="83"/>
      <c r="I20" s="83"/>
    </row>
    <row r="21" spans="1:10" x14ac:dyDescent="0.3">
      <c r="A21" t="s">
        <v>13</v>
      </c>
      <c r="B21" s="1" t="s">
        <v>126</v>
      </c>
      <c r="C21" s="68">
        <v>3750</v>
      </c>
      <c r="D21" s="68">
        <v>0</v>
      </c>
      <c r="E21" s="81"/>
      <c r="F21" s="81"/>
      <c r="G21" s="83"/>
      <c r="H21" s="83"/>
      <c r="I21" s="83"/>
    </row>
    <row r="22" spans="1:10" s="2" customFormat="1" ht="15.6" x14ac:dyDescent="0.3">
      <c r="A22" t="s">
        <v>14</v>
      </c>
      <c r="B22" s="1" t="s">
        <v>4</v>
      </c>
      <c r="C22" s="70">
        <v>1017</v>
      </c>
      <c r="D22" s="70">
        <v>1000</v>
      </c>
      <c r="E22" s="82"/>
      <c r="G22" s="3"/>
      <c r="H22" s="3"/>
      <c r="J22" s="3"/>
    </row>
    <row r="23" spans="1:10" x14ac:dyDescent="0.3">
      <c r="C23" s="68"/>
      <c r="D23" s="68"/>
      <c r="E23" s="81"/>
      <c r="F23" s="81"/>
      <c r="G23" s="83"/>
      <c r="H23" s="83"/>
      <c r="I23" s="83"/>
    </row>
    <row r="24" spans="1:10" x14ac:dyDescent="0.3">
      <c r="B24" s="7" t="s">
        <v>21</v>
      </c>
      <c r="C24" s="68"/>
      <c r="D24" s="68"/>
      <c r="E24" s="81"/>
      <c r="F24" s="81"/>
      <c r="G24" s="83"/>
      <c r="H24" s="83"/>
      <c r="I24" s="83"/>
    </row>
    <row r="25" spans="1:10" x14ac:dyDescent="0.3">
      <c r="A25" t="s">
        <v>15</v>
      </c>
      <c r="B25" s="1" t="s">
        <v>19</v>
      </c>
      <c r="C25" s="143">
        <v>10000</v>
      </c>
      <c r="D25" s="70">
        <v>10000</v>
      </c>
      <c r="E25" s="81"/>
      <c r="F25" s="81"/>
      <c r="G25" s="83"/>
      <c r="H25" s="83"/>
      <c r="I25" s="83"/>
    </row>
    <row r="26" spans="1:10" ht="18" customHeight="1" x14ac:dyDescent="0.3">
      <c r="A26" t="s">
        <v>94</v>
      </c>
      <c r="B26" s="1" t="s">
        <v>116</v>
      </c>
      <c r="C26" s="144">
        <v>5000</v>
      </c>
      <c r="D26" s="71">
        <v>5000</v>
      </c>
      <c r="E26" s="81"/>
      <c r="F26" s="81"/>
      <c r="G26" s="83"/>
      <c r="H26" s="83"/>
      <c r="I26" s="83"/>
    </row>
    <row r="27" spans="1:10" ht="18" customHeight="1" x14ac:dyDescent="0.3">
      <c r="A27" t="s">
        <v>95</v>
      </c>
      <c r="B27" s="1" t="s">
        <v>6</v>
      </c>
      <c r="C27" s="6">
        <v>0</v>
      </c>
      <c r="D27" s="6">
        <v>0</v>
      </c>
      <c r="E27" s="81"/>
      <c r="F27" s="81"/>
      <c r="G27" s="83"/>
      <c r="H27" s="83"/>
      <c r="I27" s="83"/>
    </row>
    <row r="28" spans="1:10" ht="18" customHeight="1" x14ac:dyDescent="0.3">
      <c r="B28" s="5" t="s">
        <v>5</v>
      </c>
      <c r="C28" s="68">
        <f>SUM(C16:C27)</f>
        <v>1690117.5</v>
      </c>
      <c r="D28" s="68">
        <f>SUM(D16:D27)</f>
        <v>1598916</v>
      </c>
      <c r="E28" s="81"/>
      <c r="F28" s="81"/>
      <c r="G28" s="83"/>
      <c r="H28" s="83"/>
      <c r="I28" s="83"/>
    </row>
    <row r="29" spans="1:10" ht="18" customHeight="1" x14ac:dyDescent="0.3">
      <c r="C29" s="72"/>
      <c r="D29" s="72"/>
      <c r="E29" s="81"/>
      <c r="F29" s="81"/>
      <c r="G29" s="83"/>
      <c r="H29" s="83"/>
      <c r="I29" s="83"/>
    </row>
    <row r="30" spans="1:10" ht="46.2" customHeight="1" x14ac:dyDescent="0.3">
      <c r="B30" s="121" t="s">
        <v>131</v>
      </c>
      <c r="C30" s="150"/>
      <c r="D30" s="150"/>
      <c r="E30" s="84"/>
      <c r="F30" s="81"/>
      <c r="G30" s="83"/>
      <c r="H30" s="83"/>
      <c r="I30" s="83"/>
    </row>
    <row r="31" spans="1:10" ht="61.95" customHeight="1" x14ac:dyDescent="0.3">
      <c r="B31" s="151" t="s">
        <v>127</v>
      </c>
      <c r="C31" s="151"/>
      <c r="D31" s="111"/>
      <c r="F31" s="44"/>
    </row>
    <row r="32" spans="1:10" ht="56.4" customHeight="1" x14ac:dyDescent="0.3">
      <c r="B32" s="110"/>
      <c r="C32" s="112"/>
      <c r="D32" s="111"/>
      <c r="E32" s="73"/>
    </row>
    <row r="41" spans="2:10" ht="15.6" x14ac:dyDescent="0.3">
      <c r="B41" s="3"/>
      <c r="J41"/>
    </row>
    <row r="44" spans="2:10" x14ac:dyDescent="0.3">
      <c r="C44" s="6"/>
      <c r="D44" s="6"/>
      <c r="J44"/>
    </row>
    <row r="45" spans="2:10" x14ac:dyDescent="0.3">
      <c r="C45" s="6"/>
      <c r="D45" s="6"/>
      <c r="J45"/>
    </row>
    <row r="46" spans="2:10" x14ac:dyDescent="0.3">
      <c r="C46" s="6"/>
      <c r="D46" s="6"/>
      <c r="J46"/>
    </row>
    <row r="47" spans="2:10" x14ac:dyDescent="0.3">
      <c r="B47"/>
      <c r="C47" s="6"/>
      <c r="D47" s="6"/>
      <c r="J47"/>
    </row>
    <row r="48" spans="2:10" x14ac:dyDescent="0.3">
      <c r="B48"/>
      <c r="C48" s="6"/>
      <c r="D48" s="6"/>
      <c r="J48"/>
    </row>
    <row r="49" spans="2:10" x14ac:dyDescent="0.3">
      <c r="B49"/>
      <c r="C49" s="6"/>
      <c r="D49" s="6"/>
      <c r="J49"/>
    </row>
    <row r="50" spans="2:10" x14ac:dyDescent="0.3">
      <c r="B50"/>
      <c r="C50" s="6"/>
      <c r="D50" s="6"/>
      <c r="J50"/>
    </row>
    <row r="51" spans="2:10" x14ac:dyDescent="0.3">
      <c r="B51"/>
      <c r="C51" s="6"/>
      <c r="D51" s="6"/>
      <c r="J51"/>
    </row>
    <row r="52" spans="2:10" x14ac:dyDescent="0.3">
      <c r="B52"/>
      <c r="C52" s="6"/>
      <c r="D52" s="6"/>
      <c r="J52"/>
    </row>
    <row r="53" spans="2:10" x14ac:dyDescent="0.3">
      <c r="B53"/>
      <c r="C53" s="6"/>
      <c r="D53" s="6"/>
      <c r="J53"/>
    </row>
    <row r="54" spans="2:10" x14ac:dyDescent="0.3">
      <c r="B54"/>
      <c r="C54" s="6"/>
      <c r="D54" s="6"/>
      <c r="J54"/>
    </row>
    <row r="55" spans="2:10" x14ac:dyDescent="0.3">
      <c r="B55"/>
      <c r="C55" s="6"/>
      <c r="D55" s="6"/>
      <c r="J55"/>
    </row>
    <row r="56" spans="2:10" x14ac:dyDescent="0.3">
      <c r="B56"/>
      <c r="C56" s="6"/>
      <c r="D56" s="6"/>
      <c r="J56"/>
    </row>
    <row r="57" spans="2:10" x14ac:dyDescent="0.3">
      <c r="B57"/>
      <c r="C57" s="6"/>
      <c r="D57" s="6"/>
      <c r="J57"/>
    </row>
    <row r="58" spans="2:10" x14ac:dyDescent="0.3">
      <c r="B58"/>
      <c r="C58" s="6"/>
      <c r="D58" s="6"/>
      <c r="J58"/>
    </row>
    <row r="59" spans="2:10" x14ac:dyDescent="0.3">
      <c r="B59"/>
      <c r="C59" s="6"/>
      <c r="D59" s="6"/>
      <c r="J59"/>
    </row>
    <row r="60" spans="2:10" x14ac:dyDescent="0.3">
      <c r="B60"/>
      <c r="C60" s="6"/>
      <c r="D60" s="6"/>
      <c r="J60"/>
    </row>
    <row r="62" spans="2:10" x14ac:dyDescent="0.3">
      <c r="B62"/>
      <c r="C62" s="6"/>
      <c r="D62" s="6"/>
      <c r="J62"/>
    </row>
  </sheetData>
  <mergeCells count="2">
    <mergeCell ref="C30:D30"/>
    <mergeCell ref="B31:C31"/>
  </mergeCells>
  <phoneticPr fontId="5" type="noConversion"/>
  <printOptions gridLines="1"/>
  <pageMargins left="0.25" right="0.25" top="0.75" bottom="0.75" header="0.3" footer="0.3"/>
  <pageSetup orientation="portrait" r:id="rId1"/>
  <headerFooter>
    <oddHeader xml:space="preserve">&amp;CWPLC Budget 
2024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zoomScale="90" zoomScaleNormal="90" workbookViewId="0">
      <selection activeCell="C7" sqref="C7"/>
    </sheetView>
  </sheetViews>
  <sheetFormatPr defaultColWidth="9.33203125" defaultRowHeight="14.4" x14ac:dyDescent="0.3"/>
  <cols>
    <col min="1" max="1" width="55.33203125" style="1" customWidth="1"/>
    <col min="2" max="2" width="0" hidden="1" customWidth="1"/>
    <col min="3" max="3" width="19" bestFit="1" customWidth="1"/>
    <col min="4" max="4" width="15.33203125" customWidth="1"/>
    <col min="5" max="5" width="17.33203125" customWidth="1"/>
    <col min="6" max="6" width="19" bestFit="1" customWidth="1"/>
    <col min="7" max="7" width="18.33203125" customWidth="1"/>
    <col min="8" max="8" width="17.6640625" customWidth="1"/>
    <col min="9" max="9" width="13.44140625" customWidth="1"/>
  </cols>
  <sheetData>
    <row r="1" spans="1:9" x14ac:dyDescent="0.3">
      <c r="C1" s="34"/>
      <c r="D1" s="37">
        <v>2022</v>
      </c>
    </row>
    <row r="2" spans="1:9" ht="15" thickBot="1" x14ac:dyDescent="0.35">
      <c r="B2" s="10"/>
      <c r="C2" s="43"/>
      <c r="D2" s="39">
        <v>2021</v>
      </c>
    </row>
    <row r="3" spans="1:9" x14ac:dyDescent="0.3">
      <c r="B3" s="10"/>
      <c r="C3" s="1"/>
    </row>
    <row r="5" spans="1:9" x14ac:dyDescent="0.3">
      <c r="C5" s="60">
        <v>2022</v>
      </c>
      <c r="D5" s="60">
        <v>2022</v>
      </c>
      <c r="E5" s="60">
        <v>2022</v>
      </c>
      <c r="F5" s="60">
        <v>2021</v>
      </c>
      <c r="G5" s="60">
        <v>2021</v>
      </c>
      <c r="H5" s="60">
        <v>2021</v>
      </c>
      <c r="I5" s="10" t="s">
        <v>25</v>
      </c>
    </row>
    <row r="6" spans="1:9" x14ac:dyDescent="0.3">
      <c r="A6" s="18" t="s">
        <v>46</v>
      </c>
      <c r="B6" s="59"/>
      <c r="C6" s="49" t="s">
        <v>82</v>
      </c>
      <c r="D6" s="10" t="s">
        <v>83</v>
      </c>
      <c r="E6" s="10" t="s">
        <v>81</v>
      </c>
      <c r="F6" s="49" t="s">
        <v>82</v>
      </c>
      <c r="G6" s="10" t="s">
        <v>83</v>
      </c>
      <c r="H6" s="10" t="s">
        <v>81</v>
      </c>
      <c r="I6" s="10" t="s">
        <v>80</v>
      </c>
    </row>
    <row r="7" spans="1:9" x14ac:dyDescent="0.3">
      <c r="A7" s="20" t="s">
        <v>54</v>
      </c>
      <c r="B7" s="58"/>
      <c r="C7" s="65" t="e">
        <f>'Buying pool summary'!#REF!</f>
        <v>#REF!</v>
      </c>
      <c r="D7" s="62" t="e">
        <f>'Partner shares'!#REF!</f>
        <v>#REF!</v>
      </c>
      <c r="E7" s="62" t="e">
        <f t="shared" ref="E7:E22" si="0">SUM(C7:D7)</f>
        <v>#REF!</v>
      </c>
      <c r="F7" s="42" t="e">
        <f>'Buying pool summary'!#REF!</f>
        <v>#REF!</v>
      </c>
      <c r="G7" s="15" t="e">
        <f>'Partner shares'!#REF!</f>
        <v>#REF!</v>
      </c>
      <c r="H7" s="15" t="e">
        <f t="shared" ref="H7:H22" si="1">SUM(F7:G7)</f>
        <v>#REF!</v>
      </c>
      <c r="I7" s="14" t="e">
        <f t="shared" ref="I7:I22" si="2">E7-H7</f>
        <v>#REF!</v>
      </c>
    </row>
    <row r="8" spans="1:9" x14ac:dyDescent="0.3">
      <c r="A8" s="23" t="s">
        <v>55</v>
      </c>
      <c r="B8" s="58">
        <v>25542</v>
      </c>
      <c r="C8" s="65">
        <f>'Buying pool summary'!K7</f>
        <v>142820.19227750448</v>
      </c>
      <c r="D8" s="62">
        <f>'Partner shares'!C6</f>
        <v>6953</v>
      </c>
      <c r="E8" s="62">
        <f t="shared" si="0"/>
        <v>149773.19227750448</v>
      </c>
      <c r="F8" s="42">
        <f>'Buying pool summary'!L7</f>
        <v>138003.87504342326</v>
      </c>
      <c r="G8" s="15">
        <f>'Partner shares'!B6</f>
        <v>7715</v>
      </c>
      <c r="H8" s="15">
        <f t="shared" si="1"/>
        <v>145718.87504342326</v>
      </c>
      <c r="I8" s="14">
        <f t="shared" si="2"/>
        <v>4054.3172340812162</v>
      </c>
    </row>
    <row r="9" spans="1:9" x14ac:dyDescent="0.3">
      <c r="A9" s="20" t="s">
        <v>87</v>
      </c>
      <c r="B9" s="58"/>
      <c r="C9" s="65">
        <f>'Buying pool summary'!K8</f>
        <v>134865.69254104022</v>
      </c>
      <c r="D9" s="62">
        <f>'Partner shares'!C7</f>
        <v>6953</v>
      </c>
      <c r="E9" s="62">
        <f t="shared" si="0"/>
        <v>141818.69254104022</v>
      </c>
      <c r="F9" s="42">
        <f>'Buying pool summary'!L8</f>
        <v>129774.46277785102</v>
      </c>
      <c r="G9" s="15">
        <f>'Partner shares'!B7</f>
        <v>7715</v>
      </c>
      <c r="H9" s="15">
        <f t="shared" si="1"/>
        <v>137489.46277785103</v>
      </c>
      <c r="I9" s="14">
        <f t="shared" si="2"/>
        <v>4329.2297631891852</v>
      </c>
    </row>
    <row r="10" spans="1:9" x14ac:dyDescent="0.3">
      <c r="A10" s="23" t="s">
        <v>56</v>
      </c>
      <c r="B10" s="58"/>
      <c r="C10" s="65">
        <f>'Buying pool summary'!K9</f>
        <v>33576.317249241329</v>
      </c>
      <c r="D10" s="62">
        <f>'Partner shares'!C8</f>
        <v>6953</v>
      </c>
      <c r="E10" s="62">
        <f t="shared" si="0"/>
        <v>40529.317249241329</v>
      </c>
      <c r="F10" s="42">
        <f>'Buying pool summary'!L9</f>
        <v>31954.420627736577</v>
      </c>
      <c r="G10" s="15">
        <f>'Partner shares'!B8</f>
        <v>7715</v>
      </c>
      <c r="H10" s="15">
        <f t="shared" si="1"/>
        <v>39669.420627736574</v>
      </c>
      <c r="I10" s="14">
        <f t="shared" si="2"/>
        <v>859.89662150475488</v>
      </c>
    </row>
    <row r="11" spans="1:9" x14ac:dyDescent="0.3">
      <c r="A11" s="23" t="s">
        <v>57</v>
      </c>
      <c r="B11" s="58"/>
      <c r="C11" s="65" t="e">
        <f>'Buying pool summary'!#REF!</f>
        <v>#REF!</v>
      </c>
      <c r="D11" s="62" t="e">
        <f>'Partner shares'!#REF!</f>
        <v>#REF!</v>
      </c>
      <c r="E11" s="62" t="e">
        <f t="shared" si="0"/>
        <v>#REF!</v>
      </c>
      <c r="F11" s="42" t="e">
        <f>'Buying pool summary'!#REF!</f>
        <v>#REF!</v>
      </c>
      <c r="G11" s="15" t="e">
        <f>'Partner shares'!#REF!</f>
        <v>#REF!</v>
      </c>
      <c r="H11" s="15" t="e">
        <f t="shared" si="1"/>
        <v>#REF!</v>
      </c>
      <c r="I11" s="14" t="e">
        <f t="shared" si="2"/>
        <v>#REF!</v>
      </c>
    </row>
    <row r="12" spans="1:9" x14ac:dyDescent="0.3">
      <c r="A12" s="23" t="s">
        <v>58</v>
      </c>
      <c r="B12" s="58"/>
      <c r="C12" s="65">
        <f>'Buying pool summary'!K10</f>
        <v>22515.270244188196</v>
      </c>
      <c r="D12" s="62">
        <f>'Partner shares'!C9</f>
        <v>6953</v>
      </c>
      <c r="E12" s="62">
        <f t="shared" si="0"/>
        <v>29468.270244188196</v>
      </c>
      <c r="F12" s="42">
        <f>'Buying pool summary'!L10</f>
        <v>21958.319485989003</v>
      </c>
      <c r="G12" s="15">
        <f>'Partner shares'!B9</f>
        <v>7715</v>
      </c>
      <c r="H12" s="15">
        <f t="shared" si="1"/>
        <v>29673.319485989003</v>
      </c>
      <c r="I12" s="14">
        <f t="shared" si="2"/>
        <v>-205.04924180080707</v>
      </c>
    </row>
    <row r="13" spans="1:9" x14ac:dyDescent="0.3">
      <c r="A13" s="23" t="s">
        <v>59</v>
      </c>
      <c r="B13" s="58"/>
      <c r="C13" s="65">
        <f>'Buying pool summary'!K11</f>
        <v>164168.71676280018</v>
      </c>
      <c r="D13" s="62">
        <f>'Partner shares'!C10</f>
        <v>6953</v>
      </c>
      <c r="E13" s="62">
        <f t="shared" si="0"/>
        <v>171121.71676280018</v>
      </c>
      <c r="F13" s="42">
        <f>'Buying pool summary'!L11</f>
        <v>154346.9056897847</v>
      </c>
      <c r="G13" s="15">
        <f>'Partner shares'!B10</f>
        <v>7715</v>
      </c>
      <c r="H13" s="15">
        <f t="shared" si="1"/>
        <v>162061.9056897847</v>
      </c>
      <c r="I13" s="14">
        <f t="shared" si="2"/>
        <v>9059.8110730154731</v>
      </c>
    </row>
    <row r="14" spans="1:9" x14ac:dyDescent="0.3">
      <c r="A14" s="20" t="s">
        <v>60</v>
      </c>
      <c r="B14" s="58"/>
      <c r="C14" s="65">
        <f>'Buying pool summary'!K12</f>
        <v>108320.46008733439</v>
      </c>
      <c r="D14" s="62">
        <f>'Partner shares'!C11</f>
        <v>6953</v>
      </c>
      <c r="E14" s="62">
        <f t="shared" si="0"/>
        <v>115273.46008733439</v>
      </c>
      <c r="F14" s="42">
        <f>'Buying pool summary'!L12</f>
        <v>103085.35318767813</v>
      </c>
      <c r="G14" s="15">
        <f>'Partner shares'!B11</f>
        <v>7715</v>
      </c>
      <c r="H14" s="15">
        <f t="shared" si="1"/>
        <v>110800.35318767813</v>
      </c>
      <c r="I14" s="14">
        <f t="shared" si="2"/>
        <v>4473.1068996562535</v>
      </c>
    </row>
    <row r="15" spans="1:9" x14ac:dyDescent="0.3">
      <c r="A15" s="23" t="s">
        <v>79</v>
      </c>
      <c r="B15" s="58" t="e">
        <f>SUM(#REF!)</f>
        <v>#REF!</v>
      </c>
      <c r="C15" s="65">
        <f>'Buying pool summary'!K13</f>
        <v>101823.48422074833</v>
      </c>
      <c r="D15" s="62">
        <f>'Partner shares'!C12</f>
        <v>6953</v>
      </c>
      <c r="E15" s="62">
        <f t="shared" si="0"/>
        <v>108776.48422074833</v>
      </c>
      <c r="F15" s="42">
        <f>'Buying pool summary'!L13</f>
        <v>97533.937688948703</v>
      </c>
      <c r="G15" s="15">
        <f>'Partner shares'!B12</f>
        <v>7715</v>
      </c>
      <c r="H15" s="15">
        <f t="shared" si="1"/>
        <v>105248.9376889487</v>
      </c>
      <c r="I15" s="14">
        <f t="shared" si="2"/>
        <v>3527.5465317996277</v>
      </c>
    </row>
    <row r="16" spans="1:9" x14ac:dyDescent="0.3">
      <c r="A16" s="23" t="s">
        <v>62</v>
      </c>
      <c r="B16" s="58"/>
      <c r="C16" s="65">
        <f>'Buying pool summary'!K14</f>
        <v>49382.375818023465</v>
      </c>
      <c r="D16" s="62">
        <f>'Partner shares'!C13</f>
        <v>6953</v>
      </c>
      <c r="E16" s="62">
        <f t="shared" si="0"/>
        <v>56335.375818023465</v>
      </c>
      <c r="F16" s="42">
        <f>'Buying pool summary'!L14</f>
        <v>47006.703292014543</v>
      </c>
      <c r="G16" s="15">
        <f>'Partner shares'!B13</f>
        <v>7715</v>
      </c>
      <c r="H16" s="15">
        <f t="shared" si="1"/>
        <v>54721.703292014543</v>
      </c>
      <c r="I16" s="14">
        <f t="shared" si="2"/>
        <v>1613.6725260089224</v>
      </c>
    </row>
    <row r="17" spans="1:9" x14ac:dyDescent="0.3">
      <c r="A17" s="23" t="s">
        <v>78</v>
      </c>
      <c r="B17" s="58"/>
      <c r="C17" s="65">
        <f>'Buying pool summary'!K15</f>
        <v>59403.365146356431</v>
      </c>
      <c r="D17" s="62">
        <f>'Partner shares'!C14</f>
        <v>6953</v>
      </c>
      <c r="E17" s="62">
        <f t="shared" si="0"/>
        <v>66356.365146356431</v>
      </c>
      <c r="F17" s="42">
        <f>'Buying pool summary'!L15</f>
        <v>52909.942937260646</v>
      </c>
      <c r="G17" s="15">
        <f>'Partner shares'!B14</f>
        <v>7715</v>
      </c>
      <c r="H17" s="15">
        <f t="shared" si="1"/>
        <v>60624.942937260646</v>
      </c>
      <c r="I17" s="14">
        <f t="shared" si="2"/>
        <v>5731.4222090957846</v>
      </c>
    </row>
    <row r="18" spans="1:9" x14ac:dyDescent="0.3">
      <c r="A18" s="23" t="s">
        <v>64</v>
      </c>
      <c r="B18" s="58"/>
      <c r="C18" s="65">
        <f>'Buying pool summary'!K17</f>
        <v>317627.55367874051</v>
      </c>
      <c r="D18" s="62">
        <f>'Partner shares'!C16</f>
        <v>6953</v>
      </c>
      <c r="E18" s="62">
        <f t="shared" si="0"/>
        <v>324580.55367874051</v>
      </c>
      <c r="F18" s="42">
        <f>'Buying pool summary'!L17</f>
        <v>305788.69860697875</v>
      </c>
      <c r="G18" s="15">
        <f>'Partner shares'!B16</f>
        <v>7715</v>
      </c>
      <c r="H18" s="15">
        <f t="shared" si="1"/>
        <v>313503.69860697875</v>
      </c>
      <c r="I18" s="14">
        <f t="shared" si="2"/>
        <v>11076.855071761762</v>
      </c>
    </row>
    <row r="19" spans="1:9" x14ac:dyDescent="0.3">
      <c r="A19" s="23" t="s">
        <v>65</v>
      </c>
      <c r="B19" s="58"/>
      <c r="C19" s="65">
        <f>'Buying pool summary'!K18</f>
        <v>30430.961799828729</v>
      </c>
      <c r="D19" s="62">
        <f>'Partner shares'!C17</f>
        <v>6953</v>
      </c>
      <c r="E19" s="62">
        <f t="shared" si="0"/>
        <v>37383.961799828729</v>
      </c>
      <c r="F19" s="42">
        <f>'Buying pool summary'!L18</f>
        <v>29369.797622518672</v>
      </c>
      <c r="G19" s="15">
        <f>'Partner shares'!B17</f>
        <v>7715</v>
      </c>
      <c r="H19" s="15">
        <f t="shared" si="1"/>
        <v>37084.797622518672</v>
      </c>
      <c r="I19" s="14">
        <f t="shared" si="2"/>
        <v>299.1641773100564</v>
      </c>
    </row>
    <row r="20" spans="1:9" x14ac:dyDescent="0.3">
      <c r="A20" s="23" t="s">
        <v>66</v>
      </c>
      <c r="B20" s="58"/>
      <c r="C20" s="65">
        <f>'Buying pool summary'!K19</f>
        <v>74593.529824745608</v>
      </c>
      <c r="D20" s="62">
        <f>'Partner shares'!C18</f>
        <v>6953</v>
      </c>
      <c r="E20" s="62">
        <f t="shared" si="0"/>
        <v>81546.529824745608</v>
      </c>
      <c r="F20" s="42">
        <f>'Buying pool summary'!L19</f>
        <v>71047.973332339679</v>
      </c>
      <c r="G20" s="15">
        <f>'Partner shares'!B18</f>
        <v>7715</v>
      </c>
      <c r="H20" s="15">
        <f t="shared" si="1"/>
        <v>78762.973332339679</v>
      </c>
      <c r="I20" s="14">
        <f t="shared" si="2"/>
        <v>2783.556492405929</v>
      </c>
    </row>
    <row r="21" spans="1:9" x14ac:dyDescent="0.3">
      <c r="A21" s="23" t="s">
        <v>67</v>
      </c>
      <c r="B21" s="58"/>
      <c r="C21" s="65">
        <f>'Buying pool summary'!K20</f>
        <v>74212.104750502374</v>
      </c>
      <c r="D21" s="62">
        <f>'Partner shares'!C19</f>
        <v>6953</v>
      </c>
      <c r="E21" s="62">
        <f t="shared" si="0"/>
        <v>81165.104750502374</v>
      </c>
      <c r="F21" s="42">
        <f>'Buying pool summary'!L20</f>
        <v>71217.844880003453</v>
      </c>
      <c r="G21" s="15">
        <f>'Partner shares'!B19</f>
        <v>7715</v>
      </c>
      <c r="H21" s="15">
        <f t="shared" si="1"/>
        <v>78932.844880003453</v>
      </c>
      <c r="I21" s="14">
        <f t="shared" si="2"/>
        <v>2232.2598704989214</v>
      </c>
    </row>
    <row r="22" spans="1:9" ht="16.5" customHeight="1" x14ac:dyDescent="0.3">
      <c r="A22" s="24" t="s">
        <v>77</v>
      </c>
      <c r="B22" s="57" t="e">
        <f>SUM(#REF!)</f>
        <v>#REF!</v>
      </c>
      <c r="C22" s="65">
        <f>'Buying pool summary'!K21</f>
        <v>71504.710636886957</v>
      </c>
      <c r="D22" s="62">
        <f>'Partner shares'!C20</f>
        <v>6953</v>
      </c>
      <c r="E22" s="62">
        <f t="shared" si="0"/>
        <v>78457.710636886957</v>
      </c>
      <c r="F22" s="42">
        <f>'Buying pool summary'!L21</f>
        <v>68398.336854222624</v>
      </c>
      <c r="G22" s="15">
        <f>'Partner shares'!B20</f>
        <v>7715</v>
      </c>
      <c r="H22" s="15">
        <f t="shared" si="1"/>
        <v>76113.336854222624</v>
      </c>
      <c r="I22" s="14">
        <f t="shared" si="2"/>
        <v>2344.3737826643337</v>
      </c>
    </row>
    <row r="23" spans="1:9" x14ac:dyDescent="0.3">
      <c r="C23" s="14" t="e">
        <f t="shared" ref="C23:H23" si="3">SUM(C7:C22)</f>
        <v>#REF!</v>
      </c>
      <c r="D23" s="14" t="e">
        <f t="shared" si="3"/>
        <v>#REF!</v>
      </c>
      <c r="E23" s="14" t="e">
        <f t="shared" si="3"/>
        <v>#REF!</v>
      </c>
      <c r="F23" s="14" t="e">
        <f t="shared" si="3"/>
        <v>#REF!</v>
      </c>
      <c r="G23" s="14" t="e">
        <f t="shared" si="3"/>
        <v>#REF!</v>
      </c>
      <c r="H23" s="14" t="e">
        <f t="shared" si="3"/>
        <v>#REF!</v>
      </c>
      <c r="I23" s="14"/>
    </row>
  </sheetData>
  <sheetProtection algorithmName="SHA-512" hashValue="OYc1D4NZwFfFNjKXuhuhj28hFJNwsGYHzLAk64wNxAUQHssz4/ETDNMJ0RXe68W36vDkHrjualwZfNZJk73q2w==" saltValue="AjZ/VNS+Y1fVVvpNnFeWOg==" spinCount="100000" sheet="1" objects="1" scenarios="1"/>
  <pageMargins left="0.7" right="0.7" top="0.75" bottom="0.7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workbookViewId="0">
      <selection activeCell="A4" sqref="A4"/>
    </sheetView>
  </sheetViews>
  <sheetFormatPr defaultColWidth="8.88671875" defaultRowHeight="14.4" x14ac:dyDescent="0.3"/>
  <cols>
    <col min="1" max="1" width="34.6640625" bestFit="1" customWidth="1"/>
    <col min="2" max="2" width="6" hidden="1" customWidth="1"/>
    <col min="3" max="3" width="11.6640625" bestFit="1" customWidth="1"/>
    <col min="4" max="4" width="14.6640625" bestFit="1" customWidth="1"/>
    <col min="5" max="5" width="14.5546875" customWidth="1"/>
    <col min="6" max="6" width="12.109375" bestFit="1" customWidth="1"/>
    <col min="7" max="7" width="11.5546875" bestFit="1" customWidth="1"/>
    <col min="8" max="8" width="14.5546875" bestFit="1" customWidth="1"/>
    <col min="9" max="9" width="14.5546875" customWidth="1"/>
    <col min="10" max="10" width="11.5546875" bestFit="1" customWidth="1"/>
    <col min="11" max="11" width="9.6640625" bestFit="1" customWidth="1"/>
    <col min="12" max="12" width="8.77734375" customWidth="1"/>
  </cols>
  <sheetData>
    <row r="1" spans="1:12" x14ac:dyDescent="0.3">
      <c r="A1" s="152" t="s">
        <v>96</v>
      </c>
      <c r="B1" s="37"/>
      <c r="C1" s="98"/>
      <c r="D1" s="100">
        <v>2023</v>
      </c>
    </row>
    <row r="2" spans="1:12" ht="15" thickBot="1" x14ac:dyDescent="0.35">
      <c r="A2" s="153"/>
      <c r="B2" s="99"/>
      <c r="C2" s="115"/>
      <c r="D2" s="101">
        <v>2024</v>
      </c>
    </row>
    <row r="3" spans="1:12" x14ac:dyDescent="0.3">
      <c r="B3" s="10"/>
    </row>
    <row r="5" spans="1:12" x14ac:dyDescent="0.3">
      <c r="C5" s="60">
        <v>2024</v>
      </c>
      <c r="D5" s="60">
        <v>2024</v>
      </c>
      <c r="E5" s="60">
        <v>2024</v>
      </c>
      <c r="F5" s="60">
        <v>2024</v>
      </c>
      <c r="G5" s="60">
        <v>2023</v>
      </c>
      <c r="H5" s="60">
        <v>2023</v>
      </c>
      <c r="I5" s="60">
        <v>2023</v>
      </c>
      <c r="J5" s="60">
        <v>2023</v>
      </c>
      <c r="K5" s="10" t="s">
        <v>25</v>
      </c>
    </row>
    <row r="6" spans="1:12" x14ac:dyDescent="0.3">
      <c r="A6" s="93" t="s">
        <v>128</v>
      </c>
      <c r="B6" s="59"/>
      <c r="C6" s="49" t="s">
        <v>82</v>
      </c>
      <c r="D6" s="49" t="s">
        <v>102</v>
      </c>
      <c r="E6" s="49" t="s">
        <v>92</v>
      </c>
      <c r="F6" s="49" t="s">
        <v>81</v>
      </c>
      <c r="G6" s="49" t="s">
        <v>82</v>
      </c>
      <c r="H6" s="49" t="s">
        <v>102</v>
      </c>
      <c r="I6" s="49" t="s">
        <v>92</v>
      </c>
      <c r="J6" s="49" t="s">
        <v>81</v>
      </c>
      <c r="K6" s="49" t="s">
        <v>80</v>
      </c>
    </row>
    <row r="7" spans="1:12" x14ac:dyDescent="0.3">
      <c r="A7" s="96" t="s">
        <v>55</v>
      </c>
      <c r="B7" s="58">
        <v>25542</v>
      </c>
      <c r="C7" s="113">
        <f>'Buying pool summary'!K7</f>
        <v>142820.19227750448</v>
      </c>
      <c r="D7" s="114">
        <f>'Partner shares'!B6</f>
        <v>7715</v>
      </c>
      <c r="E7" s="114">
        <f>'Magazine Costs'!G6</f>
        <v>9537.2696799767837</v>
      </c>
      <c r="F7" s="114">
        <f t="shared" ref="F7:F21" si="0">SUM(C7:E7)</f>
        <v>160072.46195748125</v>
      </c>
      <c r="G7" s="94">
        <f>'Buying pool summary'!L7</f>
        <v>138003.87504342326</v>
      </c>
      <c r="H7" s="95">
        <f>'Partner shares'!C6</f>
        <v>6953</v>
      </c>
      <c r="I7" s="95">
        <f>'Magazine Costs'!H6</f>
        <v>7705.0406067094045</v>
      </c>
      <c r="J7" s="95">
        <f t="shared" ref="J7:J21" si="1">SUM(G7:I7)</f>
        <v>152661.91565013267</v>
      </c>
      <c r="K7" s="14">
        <f>F7-J7</f>
        <v>7410.546307348588</v>
      </c>
    </row>
    <row r="8" spans="1:12" x14ac:dyDescent="0.3">
      <c r="A8" s="58" t="s">
        <v>87</v>
      </c>
      <c r="B8" s="58"/>
      <c r="C8" s="113">
        <f>'Buying pool summary'!K8</f>
        <v>134865.69254104022</v>
      </c>
      <c r="D8" s="114">
        <f>'Partner shares'!B7</f>
        <v>7715</v>
      </c>
      <c r="E8" s="114">
        <f>'Magazine Costs'!G7</f>
        <v>9119.4331760850018</v>
      </c>
      <c r="F8" s="114">
        <f t="shared" si="0"/>
        <v>151700.12571712522</v>
      </c>
      <c r="G8" s="94">
        <f>'Buying pool summary'!L8</f>
        <v>129774.46277785102</v>
      </c>
      <c r="H8" s="95">
        <f>'Partner shares'!C7</f>
        <v>6953</v>
      </c>
      <c r="I8" s="95">
        <f>'Magazine Costs'!H7</f>
        <v>7354.7671270446372</v>
      </c>
      <c r="J8" s="95">
        <f t="shared" si="1"/>
        <v>144082.22990489568</v>
      </c>
      <c r="K8" s="14">
        <f t="shared" ref="K8:K21" si="2">F8-J8</f>
        <v>7617.8958122295444</v>
      </c>
    </row>
    <row r="9" spans="1:12" x14ac:dyDescent="0.3">
      <c r="A9" s="96" t="s">
        <v>56</v>
      </c>
      <c r="B9" s="58"/>
      <c r="C9" s="113">
        <f>'Buying pool summary'!K9</f>
        <v>33576.317249241329</v>
      </c>
      <c r="D9" s="114">
        <f>'Partner shares'!B8</f>
        <v>7715</v>
      </c>
      <c r="E9" s="114">
        <f>'Magazine Costs'!G8</f>
        <v>2290.2676445243119</v>
      </c>
      <c r="F9" s="114">
        <f t="shared" si="0"/>
        <v>43581.584893765641</v>
      </c>
      <c r="G9" s="94">
        <f>'Buying pool summary'!L9</f>
        <v>31954.420627736577</v>
      </c>
      <c r="H9" s="95">
        <f>'Partner shares'!C8</f>
        <v>6953</v>
      </c>
      <c r="I9" s="95">
        <f>'Magazine Costs'!H8</f>
        <v>1830.3124906799906</v>
      </c>
      <c r="J9" s="95">
        <f t="shared" si="1"/>
        <v>40737.733118416567</v>
      </c>
      <c r="K9" s="14">
        <f t="shared" si="2"/>
        <v>2843.8517753490742</v>
      </c>
    </row>
    <row r="10" spans="1:12" x14ac:dyDescent="0.3">
      <c r="A10" s="96" t="s">
        <v>58</v>
      </c>
      <c r="B10" s="58"/>
      <c r="C10" s="113">
        <f>'Buying pool summary'!K10</f>
        <v>22515.270244188196</v>
      </c>
      <c r="D10" s="114">
        <f>'Partner shares'!B9</f>
        <v>7715</v>
      </c>
      <c r="E10" s="114">
        <f>'Magazine Costs'!G9</f>
        <v>1563.8755278452945</v>
      </c>
      <c r="F10" s="114">
        <f t="shared" si="0"/>
        <v>31794.145772033491</v>
      </c>
      <c r="G10" s="94">
        <f>'Buying pool summary'!L10</f>
        <v>21958.319485989003</v>
      </c>
      <c r="H10" s="95">
        <f>'Partner shares'!C9</f>
        <v>6953</v>
      </c>
      <c r="I10" s="95">
        <f>'Magazine Costs'!H9</f>
        <v>1276.1938019898662</v>
      </c>
      <c r="J10" s="95">
        <f t="shared" si="1"/>
        <v>30187.513287978869</v>
      </c>
      <c r="K10" s="14">
        <f t="shared" si="2"/>
        <v>1606.6324840546222</v>
      </c>
    </row>
    <row r="11" spans="1:12" x14ac:dyDescent="0.3">
      <c r="A11" s="96" t="s">
        <v>59</v>
      </c>
      <c r="B11" s="58"/>
      <c r="C11" s="113">
        <f>'Buying pool summary'!K11</f>
        <v>164168.71676280018</v>
      </c>
      <c r="D11" s="114">
        <f>'Partner shares'!B10</f>
        <v>7715</v>
      </c>
      <c r="E11" s="114">
        <f>'Magazine Costs'!G10</f>
        <v>11167.576433730692</v>
      </c>
      <c r="F11" s="114">
        <f t="shared" si="0"/>
        <v>183051.29319653087</v>
      </c>
      <c r="G11" s="94">
        <f>'Buying pool summary'!L11</f>
        <v>154346.9056897847</v>
      </c>
      <c r="H11" s="95">
        <f>'Partner shares'!C10</f>
        <v>6953</v>
      </c>
      <c r="I11" s="95">
        <f>'Magazine Costs'!H10</f>
        <v>8833.7725254797933</v>
      </c>
      <c r="J11" s="95">
        <f t="shared" si="1"/>
        <v>170133.67821526449</v>
      </c>
      <c r="K11" s="14">
        <f t="shared" si="2"/>
        <v>12917.614981266379</v>
      </c>
    </row>
    <row r="12" spans="1:12" x14ac:dyDescent="0.3">
      <c r="A12" s="58" t="s">
        <v>60</v>
      </c>
      <c r="B12" s="58"/>
      <c r="C12" s="113">
        <f>'Buying pool summary'!K12</f>
        <v>108320.46008733439</v>
      </c>
      <c r="D12" s="114">
        <f>'Partner shares'!B11</f>
        <v>7715</v>
      </c>
      <c r="E12" s="114">
        <f>'Magazine Costs'!G11</f>
        <v>7407.4867487331458</v>
      </c>
      <c r="F12" s="114">
        <f t="shared" si="0"/>
        <v>123442.94683606754</v>
      </c>
      <c r="G12" s="94">
        <f>'Buying pool summary'!L12</f>
        <v>103085.35318767813</v>
      </c>
      <c r="H12" s="95">
        <f>'Partner shares'!C11</f>
        <v>6953</v>
      </c>
      <c r="I12" s="95">
        <f>'Magazine Costs'!H11</f>
        <v>5874.260612054627</v>
      </c>
      <c r="J12" s="95">
        <f t="shared" si="1"/>
        <v>115912.61379973276</v>
      </c>
      <c r="K12" s="14">
        <f t="shared" si="2"/>
        <v>7530.3330363347777</v>
      </c>
    </row>
    <row r="13" spans="1:12" x14ac:dyDescent="0.3">
      <c r="A13" s="96" t="s">
        <v>79</v>
      </c>
      <c r="B13" s="58" t="e">
        <f>SUM(#REF!)</f>
        <v>#REF!</v>
      </c>
      <c r="C13" s="113">
        <f>'Buying pool summary'!K13</f>
        <v>101823.48422074833</v>
      </c>
      <c r="D13" s="114">
        <f>'Partner shares'!B12</f>
        <v>7715</v>
      </c>
      <c r="E13" s="114">
        <f>'Magazine Costs'!G12</f>
        <v>6932.5532348237321</v>
      </c>
      <c r="F13" s="114">
        <f t="shared" si="0"/>
        <v>116471.03745557206</v>
      </c>
      <c r="G13" s="94">
        <f>'Buying pool summary'!L13</f>
        <v>97533.937688948703</v>
      </c>
      <c r="H13" s="95">
        <f>'Partner shares'!C12</f>
        <v>6953</v>
      </c>
      <c r="I13" s="95">
        <f>'Magazine Costs'!H12</f>
        <v>5556.9126350219904</v>
      </c>
      <c r="J13" s="95">
        <f t="shared" si="1"/>
        <v>110043.85032397069</v>
      </c>
      <c r="K13" s="14">
        <f t="shared" si="2"/>
        <v>6427.1871316013712</v>
      </c>
    </row>
    <row r="14" spans="1:12" x14ac:dyDescent="0.3">
      <c r="A14" s="96" t="s">
        <v>62</v>
      </c>
      <c r="B14" s="58"/>
      <c r="C14" s="113">
        <f>'Buying pool summary'!K14</f>
        <v>49382.375818023465</v>
      </c>
      <c r="D14" s="114">
        <f>'Partner shares'!B13</f>
        <v>7715</v>
      </c>
      <c r="E14" s="114">
        <f>'Magazine Costs'!G13</f>
        <v>3377.1879872899804</v>
      </c>
      <c r="F14" s="114">
        <f t="shared" si="0"/>
        <v>60474.563805313446</v>
      </c>
      <c r="G14" s="94">
        <f>'Buying pool summary'!L14</f>
        <v>47006.703292014543</v>
      </c>
      <c r="H14" s="95">
        <f>'Partner shares'!C13</f>
        <v>6953</v>
      </c>
      <c r="I14" s="95">
        <f>'Magazine Costs'!H13</f>
        <v>2685.6802946937401</v>
      </c>
      <c r="J14" s="95">
        <f t="shared" si="1"/>
        <v>56645.383586708282</v>
      </c>
      <c r="K14" s="14">
        <f t="shared" si="2"/>
        <v>3829.1802186051646</v>
      </c>
    </row>
    <row r="15" spans="1:12" x14ac:dyDescent="0.3">
      <c r="A15" s="96" t="s">
        <v>78</v>
      </c>
      <c r="B15" s="58"/>
      <c r="C15" s="113">
        <f>'Buying pool summary'!K15</f>
        <v>59403.365146356431</v>
      </c>
      <c r="D15" s="114">
        <f>'Partner shares'!B14</f>
        <v>7715</v>
      </c>
      <c r="E15" s="114">
        <f>'Magazine Costs'!G14</f>
        <v>4038.6964530480268</v>
      </c>
      <c r="F15" s="114">
        <f t="shared" si="0"/>
        <v>71157.061599404464</v>
      </c>
      <c r="G15" s="94">
        <f>'Buying pool summary'!L15</f>
        <v>52909.942937260646</v>
      </c>
      <c r="H15" s="95">
        <f>'Partner shares'!C14</f>
        <v>6953</v>
      </c>
      <c r="I15" s="95">
        <f>'Magazine Costs'!H14</f>
        <v>3018.6952242489579</v>
      </c>
      <c r="J15" s="95">
        <f t="shared" si="1"/>
        <v>62881.638161509603</v>
      </c>
      <c r="K15" s="14">
        <f t="shared" si="2"/>
        <v>8275.4234378948604</v>
      </c>
    </row>
    <row r="16" spans="1:12" x14ac:dyDescent="0.3">
      <c r="A16" s="96" t="s">
        <v>133</v>
      </c>
      <c r="B16" s="58"/>
      <c r="C16" s="113">
        <f>'Buying pool summary'!K16</f>
        <v>89143.264962058834</v>
      </c>
      <c r="D16" s="114">
        <f>'Partner shares'!B15</f>
        <v>7715</v>
      </c>
      <c r="E16" s="114">
        <f>'Magazine Costs'!G15</f>
        <v>6134.5737358216184</v>
      </c>
      <c r="F16" s="114">
        <f t="shared" si="0"/>
        <v>102992.83869788045</v>
      </c>
      <c r="G16" s="137">
        <f>29991+55278</f>
        <v>85269</v>
      </c>
      <c r="H16" s="138">
        <f>6953+6953</f>
        <v>13906</v>
      </c>
      <c r="I16" s="138">
        <f>1743+3173</f>
        <v>4916</v>
      </c>
      <c r="J16" s="95">
        <f t="shared" ref="J16" si="3">SUM(G16:I16)</f>
        <v>104091</v>
      </c>
      <c r="K16" s="14">
        <f t="shared" si="2"/>
        <v>-1098.1613021195517</v>
      </c>
      <c r="L16" s="147"/>
    </row>
    <row r="17" spans="1:11" x14ac:dyDescent="0.3">
      <c r="A17" s="96" t="s">
        <v>64</v>
      </c>
      <c r="B17" s="58"/>
      <c r="C17" s="113">
        <f>'Buying pool summary'!K17</f>
        <v>317627.55367874051</v>
      </c>
      <c r="D17" s="114">
        <f>'Partner shares'!B16</f>
        <v>7715</v>
      </c>
      <c r="E17" s="114">
        <f>'Magazine Costs'!G16</f>
        <v>21322.369656928393</v>
      </c>
      <c r="F17" s="114">
        <f t="shared" si="0"/>
        <v>346664.92333566892</v>
      </c>
      <c r="G17" s="94">
        <f>'Buying pool summary'!L17</f>
        <v>305788.69860697875</v>
      </c>
      <c r="H17" s="95">
        <f>'Partner shares'!C16</f>
        <v>6953</v>
      </c>
      <c r="I17" s="95">
        <f>'Magazine Costs'!H16</f>
        <v>17086.746545024591</v>
      </c>
      <c r="J17" s="95">
        <f t="shared" si="1"/>
        <v>329828.44515200332</v>
      </c>
      <c r="K17" s="14">
        <f t="shared" si="2"/>
        <v>16836.478183665604</v>
      </c>
    </row>
    <row r="18" spans="1:11" x14ac:dyDescent="0.3">
      <c r="A18" s="96" t="s">
        <v>65</v>
      </c>
      <c r="B18" s="58"/>
      <c r="C18" s="113">
        <f>'Buying pool summary'!K18</f>
        <v>30430.961799828729</v>
      </c>
      <c r="D18" s="114">
        <f>'Partner shares'!B17</f>
        <v>7715</v>
      </c>
      <c r="E18" s="114">
        <f>'Magazine Costs'!G17</f>
        <v>2102.4700353807666</v>
      </c>
      <c r="F18" s="114">
        <f t="shared" si="0"/>
        <v>40248.431835209492</v>
      </c>
      <c r="G18" s="94">
        <f>'Buying pool summary'!L18</f>
        <v>29369.797622518672</v>
      </c>
      <c r="H18" s="95">
        <f>'Partner shares'!C17</f>
        <v>6953</v>
      </c>
      <c r="I18" s="95">
        <f>'Magazine Costs'!H17</f>
        <v>1702.164603419574</v>
      </c>
      <c r="J18" s="95">
        <f t="shared" si="1"/>
        <v>38024.962225938245</v>
      </c>
      <c r="K18" s="14">
        <f t="shared" si="2"/>
        <v>2223.4696092712475</v>
      </c>
    </row>
    <row r="19" spans="1:11" x14ac:dyDescent="0.3">
      <c r="A19" s="96" t="s">
        <v>66</v>
      </c>
      <c r="B19" s="58"/>
      <c r="C19" s="113">
        <f>'Buying pool summary'!K19</f>
        <v>74593.529824745608</v>
      </c>
      <c r="D19" s="114">
        <f>'Partner shares'!B18</f>
        <v>7715</v>
      </c>
      <c r="E19" s="114">
        <f>'Magazine Costs'!G18</f>
        <v>5141.2736606655671</v>
      </c>
      <c r="F19" s="114">
        <f t="shared" si="0"/>
        <v>87449.803485411176</v>
      </c>
      <c r="G19" s="94">
        <f>'Buying pool summary'!L19</f>
        <v>71047.973332339679</v>
      </c>
      <c r="H19" s="95">
        <f>'Partner shares'!C18</f>
        <v>6953</v>
      </c>
      <c r="I19" s="95">
        <f>'Magazine Costs'!H18</f>
        <v>4101.3538007020907</v>
      </c>
      <c r="J19" s="95">
        <f t="shared" si="1"/>
        <v>82102.327133041777</v>
      </c>
      <c r="K19" s="14">
        <f t="shared" si="2"/>
        <v>5347.4763523693982</v>
      </c>
    </row>
    <row r="20" spans="1:11" x14ac:dyDescent="0.3">
      <c r="A20" s="96" t="s">
        <v>67</v>
      </c>
      <c r="B20" s="58"/>
      <c r="C20" s="113">
        <f>'Buying pool summary'!K20</f>
        <v>74212.104750502374</v>
      </c>
      <c r="D20" s="114">
        <f>'Partner shares'!B19</f>
        <v>7715</v>
      </c>
      <c r="E20" s="114">
        <f>'Magazine Costs'!G19</f>
        <v>4920.1962959727507</v>
      </c>
      <c r="F20" s="114">
        <f t="shared" si="0"/>
        <v>86847.301046475128</v>
      </c>
      <c r="G20" s="94">
        <f>'Buying pool summary'!L20</f>
        <v>71217.844880003453</v>
      </c>
      <c r="H20" s="95">
        <f>'Partner shares'!C19</f>
        <v>6953</v>
      </c>
      <c r="I20" s="95">
        <f>'Magazine Costs'!H19</f>
        <v>4098.2396144513959</v>
      </c>
      <c r="J20" s="95">
        <f t="shared" si="1"/>
        <v>82269.084494454844</v>
      </c>
      <c r="K20" s="14">
        <f t="shared" si="2"/>
        <v>4578.2165520202834</v>
      </c>
    </row>
    <row r="21" spans="1:11" x14ac:dyDescent="0.3">
      <c r="A21" s="97" t="s">
        <v>77</v>
      </c>
      <c r="B21" s="57" t="e">
        <f>SUM(#REF!)</f>
        <v>#REF!</v>
      </c>
      <c r="C21" s="113">
        <f>'Buying pool summary'!K21</f>
        <v>71504.710636886957</v>
      </c>
      <c r="D21" s="114">
        <f>'Partner shares'!B20</f>
        <v>7715</v>
      </c>
      <c r="E21" s="114">
        <f>'Magazine Costs'!G20</f>
        <v>4944.7697291739423</v>
      </c>
      <c r="F21" s="114">
        <f t="shared" si="0"/>
        <v>84164.480366060903</v>
      </c>
      <c r="G21" s="94">
        <f>'Buying pool summary'!L21</f>
        <v>68398.336854222624</v>
      </c>
      <c r="H21" s="95">
        <f>'Partner shares'!C20</f>
        <v>6953</v>
      </c>
      <c r="I21" s="95">
        <f>'Magazine Costs'!H20</f>
        <v>3960.256424327928</v>
      </c>
      <c r="J21" s="95">
        <f t="shared" si="1"/>
        <v>79311.593278550557</v>
      </c>
      <c r="K21" s="14">
        <f t="shared" si="2"/>
        <v>4852.8870875103457</v>
      </c>
    </row>
    <row r="22" spans="1:11" x14ac:dyDescent="0.3">
      <c r="C22" s="14">
        <f t="shared" ref="C22:J22" si="4">SUM(C7:C21)</f>
        <v>1474388</v>
      </c>
      <c r="D22" s="14">
        <f t="shared" si="4"/>
        <v>115725</v>
      </c>
      <c r="E22" s="14">
        <f t="shared" si="4"/>
        <v>100000.00000000001</v>
      </c>
      <c r="F22" s="14">
        <f t="shared" si="4"/>
        <v>1690113</v>
      </c>
      <c r="G22" s="14">
        <f t="shared" si="4"/>
        <v>1407665.5720267498</v>
      </c>
      <c r="H22" s="14">
        <f t="shared" si="4"/>
        <v>111248</v>
      </c>
      <c r="I22" s="14">
        <f t="shared" si="4"/>
        <v>80000.396305848582</v>
      </c>
      <c r="J22" s="14">
        <f t="shared" si="4"/>
        <v>1598913.9683325985</v>
      </c>
      <c r="K22" s="14"/>
    </row>
    <row r="25" spans="1:11" x14ac:dyDescent="0.3">
      <c r="A25" s="156" t="s">
        <v>134</v>
      </c>
      <c r="B25" s="157"/>
      <c r="C25" s="157"/>
      <c r="D25" s="157"/>
      <c r="E25" s="157"/>
      <c r="F25" s="158"/>
    </row>
    <row r="26" spans="1:11" x14ac:dyDescent="0.3">
      <c r="A26" s="201" t="s">
        <v>135</v>
      </c>
      <c r="B26" s="203"/>
      <c r="C26" s="203"/>
      <c r="D26" s="203"/>
      <c r="E26" s="203"/>
      <c r="F26" s="202"/>
    </row>
    <row r="27" spans="1:11" x14ac:dyDescent="0.3">
      <c r="A27" s="162" t="s">
        <v>46</v>
      </c>
      <c r="B27" s="163"/>
      <c r="C27" s="163" t="s">
        <v>82</v>
      </c>
      <c r="D27" s="163" t="s">
        <v>102</v>
      </c>
      <c r="E27" s="163" t="s">
        <v>92</v>
      </c>
      <c r="F27" s="164" t="s">
        <v>81</v>
      </c>
    </row>
    <row r="28" spans="1:11" x14ac:dyDescent="0.3">
      <c r="A28" s="159" t="s">
        <v>54</v>
      </c>
      <c r="B28" s="160"/>
      <c r="C28" s="184">
        <v>29991.343477986062</v>
      </c>
      <c r="D28" s="184">
        <v>6953</v>
      </c>
      <c r="E28" s="184">
        <v>1742.5171490165769</v>
      </c>
      <c r="F28" s="168">
        <v>38686.860627002636</v>
      </c>
    </row>
    <row r="29" spans="1:11" x14ac:dyDescent="0.3">
      <c r="A29" s="159" t="s">
        <v>57</v>
      </c>
      <c r="B29" s="160"/>
      <c r="C29" s="184">
        <v>55278.084495264186</v>
      </c>
      <c r="D29" s="184">
        <v>6953</v>
      </c>
      <c r="E29" s="184">
        <v>3173.0865451348423</v>
      </c>
      <c r="F29" s="168">
        <v>65404.171040399029</v>
      </c>
    </row>
    <row r="30" spans="1:11" x14ac:dyDescent="0.3">
      <c r="A30" s="165" t="s">
        <v>136</v>
      </c>
      <c r="B30" s="59"/>
      <c r="C30" s="185">
        <f>SUM(C28:C29)</f>
        <v>85269.427973250247</v>
      </c>
      <c r="D30" s="185">
        <f>SUM(D28:D29)</f>
        <v>13906</v>
      </c>
      <c r="E30" s="185">
        <f>SUM(E28:E29)</f>
        <v>4915.6036941514194</v>
      </c>
      <c r="F30" s="183">
        <f>SUM(F28:F29)</f>
        <v>104091.03166740166</v>
      </c>
    </row>
  </sheetData>
  <mergeCells count="2">
    <mergeCell ref="A1:A2"/>
    <mergeCell ref="A26:F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workbookViewId="0">
      <selection activeCell="A3" sqref="A3"/>
    </sheetView>
  </sheetViews>
  <sheetFormatPr defaultColWidth="9.33203125" defaultRowHeight="14.4" x14ac:dyDescent="0.3"/>
  <cols>
    <col min="1" max="1" width="39.5546875" bestFit="1" customWidth="1"/>
    <col min="2" max="2" width="22.33203125" bestFit="1" customWidth="1"/>
    <col min="3" max="4" width="18.33203125" bestFit="1" customWidth="1"/>
    <col min="5" max="5" width="16.21875" customWidth="1"/>
    <col min="6" max="6" width="14" customWidth="1"/>
  </cols>
  <sheetData>
    <row r="1" spans="1:5" x14ac:dyDescent="0.3">
      <c r="A1" s="7" t="s">
        <v>23</v>
      </c>
      <c r="B1" s="9">
        <f>'2024 budget'!C7</f>
        <v>115729.5</v>
      </c>
    </row>
    <row r="2" spans="1:5" x14ac:dyDescent="0.3">
      <c r="A2" s="10" t="s">
        <v>40</v>
      </c>
      <c r="B2" s="14">
        <f>ROUND(B1/15, 0)</f>
        <v>7715</v>
      </c>
    </row>
    <row r="5" spans="1:5" x14ac:dyDescent="0.3">
      <c r="A5" s="10" t="s">
        <v>24</v>
      </c>
      <c r="B5" s="116" t="s">
        <v>103</v>
      </c>
      <c r="C5" s="61" t="s">
        <v>104</v>
      </c>
      <c r="D5" s="10" t="s">
        <v>25</v>
      </c>
    </row>
    <row r="6" spans="1:5" x14ac:dyDescent="0.3">
      <c r="A6" t="s">
        <v>26</v>
      </c>
      <c r="B6" s="117">
        <f t="shared" ref="B6:B20" si="0">$B$2</f>
        <v>7715</v>
      </c>
      <c r="C6" s="62">
        <v>6953</v>
      </c>
      <c r="D6" s="11">
        <f>B6-C6</f>
        <v>762</v>
      </c>
      <c r="E6" s="12"/>
    </row>
    <row r="7" spans="1:5" x14ac:dyDescent="0.3">
      <c r="A7" t="s">
        <v>86</v>
      </c>
      <c r="B7" s="117">
        <f t="shared" si="0"/>
        <v>7715</v>
      </c>
      <c r="C7" s="62">
        <v>6953</v>
      </c>
      <c r="D7" s="11">
        <f t="shared" ref="D7:D20" si="1">B7-C7</f>
        <v>762</v>
      </c>
      <c r="E7" s="12"/>
    </row>
    <row r="8" spans="1:5" x14ac:dyDescent="0.3">
      <c r="A8" t="s">
        <v>27</v>
      </c>
      <c r="B8" s="117">
        <f t="shared" si="0"/>
        <v>7715</v>
      </c>
      <c r="C8" s="62">
        <v>6953</v>
      </c>
      <c r="D8" s="11">
        <f t="shared" si="1"/>
        <v>762</v>
      </c>
      <c r="E8" s="12"/>
    </row>
    <row r="9" spans="1:5" x14ac:dyDescent="0.3">
      <c r="A9" t="s">
        <v>28</v>
      </c>
      <c r="B9" s="117">
        <f t="shared" si="0"/>
        <v>7715</v>
      </c>
      <c r="C9" s="62">
        <v>6953</v>
      </c>
      <c r="D9" s="11">
        <f t="shared" si="1"/>
        <v>762</v>
      </c>
      <c r="E9" s="12"/>
    </row>
    <row r="10" spans="1:5" x14ac:dyDescent="0.3">
      <c r="A10" t="s">
        <v>29</v>
      </c>
      <c r="B10" s="117">
        <f t="shared" si="0"/>
        <v>7715</v>
      </c>
      <c r="C10" s="62">
        <v>6953</v>
      </c>
      <c r="D10" s="11">
        <f t="shared" si="1"/>
        <v>762</v>
      </c>
      <c r="E10" s="12"/>
    </row>
    <row r="11" spans="1:5" x14ac:dyDescent="0.3">
      <c r="A11" t="s">
        <v>30</v>
      </c>
      <c r="B11" s="117">
        <f t="shared" si="0"/>
        <v>7715</v>
      </c>
      <c r="C11" s="62">
        <v>6953</v>
      </c>
      <c r="D11" s="11">
        <f t="shared" si="1"/>
        <v>762</v>
      </c>
      <c r="E11" s="12"/>
    </row>
    <row r="12" spans="1:5" x14ac:dyDescent="0.3">
      <c r="A12" t="s">
        <v>31</v>
      </c>
      <c r="B12" s="117">
        <f t="shared" si="0"/>
        <v>7715</v>
      </c>
      <c r="C12" s="62">
        <v>6953</v>
      </c>
      <c r="D12" s="11">
        <f t="shared" si="1"/>
        <v>762</v>
      </c>
      <c r="E12" s="12"/>
    </row>
    <row r="13" spans="1:5" x14ac:dyDescent="0.3">
      <c r="A13" t="s">
        <v>32</v>
      </c>
      <c r="B13" s="117">
        <f t="shared" si="0"/>
        <v>7715</v>
      </c>
      <c r="C13" s="62">
        <v>6953</v>
      </c>
      <c r="D13" s="11">
        <f t="shared" si="1"/>
        <v>762</v>
      </c>
      <c r="E13" s="12"/>
    </row>
    <row r="14" spans="1:5" x14ac:dyDescent="0.3">
      <c r="A14" t="s">
        <v>33</v>
      </c>
      <c r="B14" s="117">
        <f t="shared" si="0"/>
        <v>7715</v>
      </c>
      <c r="C14" s="62">
        <v>6953</v>
      </c>
      <c r="D14" s="11">
        <f t="shared" si="1"/>
        <v>762</v>
      </c>
      <c r="E14" s="12"/>
    </row>
    <row r="15" spans="1:5" x14ac:dyDescent="0.3">
      <c r="A15" t="s">
        <v>137</v>
      </c>
      <c r="B15" s="117">
        <f t="shared" si="0"/>
        <v>7715</v>
      </c>
      <c r="C15" s="136">
        <f>6953+6953</f>
        <v>13906</v>
      </c>
      <c r="D15" s="11">
        <f t="shared" si="1"/>
        <v>-6191</v>
      </c>
      <c r="E15" s="147"/>
    </row>
    <row r="16" spans="1:5" x14ac:dyDescent="0.3">
      <c r="A16" t="s">
        <v>34</v>
      </c>
      <c r="B16" s="117">
        <f t="shared" si="0"/>
        <v>7715</v>
      </c>
      <c r="C16" s="62">
        <v>6953</v>
      </c>
      <c r="D16" s="11">
        <f t="shared" si="1"/>
        <v>762</v>
      </c>
      <c r="E16" s="12"/>
    </row>
    <row r="17" spans="1:10" x14ac:dyDescent="0.3">
      <c r="A17" t="s">
        <v>35</v>
      </c>
      <c r="B17" s="117">
        <f t="shared" si="0"/>
        <v>7715</v>
      </c>
      <c r="C17" s="62">
        <v>6953</v>
      </c>
      <c r="D17" s="11">
        <f t="shared" si="1"/>
        <v>762</v>
      </c>
      <c r="E17" s="12"/>
    </row>
    <row r="18" spans="1:10" x14ac:dyDescent="0.3">
      <c r="A18" t="s">
        <v>36</v>
      </c>
      <c r="B18" s="117">
        <f t="shared" si="0"/>
        <v>7715</v>
      </c>
      <c r="C18" s="62">
        <v>6953</v>
      </c>
      <c r="D18" s="11">
        <f t="shared" si="1"/>
        <v>762</v>
      </c>
      <c r="E18" s="12"/>
    </row>
    <row r="19" spans="1:10" x14ac:dyDescent="0.3">
      <c r="A19" t="s">
        <v>37</v>
      </c>
      <c r="B19" s="117">
        <f t="shared" si="0"/>
        <v>7715</v>
      </c>
      <c r="C19" s="62">
        <v>6953</v>
      </c>
      <c r="D19" s="11">
        <f t="shared" si="1"/>
        <v>762</v>
      </c>
      <c r="E19" s="12"/>
      <c r="J19" s="10"/>
    </row>
    <row r="20" spans="1:10" x14ac:dyDescent="0.3">
      <c r="A20" t="s">
        <v>38</v>
      </c>
      <c r="B20" s="117">
        <f t="shared" si="0"/>
        <v>7715</v>
      </c>
      <c r="C20" s="62">
        <v>6953</v>
      </c>
      <c r="D20" s="11">
        <f t="shared" si="1"/>
        <v>762</v>
      </c>
      <c r="E20" s="12"/>
    </row>
    <row r="21" spans="1:10" s="10" customFormat="1" x14ac:dyDescent="0.3">
      <c r="A21" s="10" t="s">
        <v>39</v>
      </c>
      <c r="B21" s="118">
        <f>SUM(B6:B20)</f>
        <v>115725</v>
      </c>
      <c r="C21" s="74">
        <f>SUM(C6:C20)</f>
        <v>111248</v>
      </c>
      <c r="D21" s="13">
        <f>SUM(D6:D20)</f>
        <v>4477</v>
      </c>
      <c r="J21"/>
    </row>
    <row r="24" spans="1:10" x14ac:dyDescent="0.3">
      <c r="A24" s="156" t="s">
        <v>134</v>
      </c>
      <c r="B24" s="158"/>
      <c r="C24" s="160"/>
      <c r="D24" s="160"/>
      <c r="E24" s="160"/>
      <c r="F24" s="160"/>
    </row>
    <row r="25" spans="1:10" x14ac:dyDescent="0.3">
      <c r="A25" s="201" t="s">
        <v>135</v>
      </c>
      <c r="B25" s="202"/>
      <c r="C25" s="166"/>
      <c r="D25" s="166"/>
      <c r="E25" s="166"/>
      <c r="F25" s="166"/>
    </row>
    <row r="26" spans="1:10" x14ac:dyDescent="0.3">
      <c r="A26" s="162" t="s">
        <v>46</v>
      </c>
      <c r="B26" s="164" t="s">
        <v>102</v>
      </c>
    </row>
    <row r="27" spans="1:10" x14ac:dyDescent="0.3">
      <c r="A27" s="159" t="s">
        <v>54</v>
      </c>
      <c r="B27" s="168">
        <v>6953</v>
      </c>
    </row>
    <row r="28" spans="1:10" x14ac:dyDescent="0.3">
      <c r="A28" s="159" t="s">
        <v>57</v>
      </c>
      <c r="B28" s="168">
        <v>6953</v>
      </c>
    </row>
    <row r="29" spans="1:10" x14ac:dyDescent="0.3">
      <c r="A29" s="165" t="s">
        <v>136</v>
      </c>
      <c r="B29" s="183">
        <f>SUM(B27:B28)</f>
        <v>13906</v>
      </c>
    </row>
  </sheetData>
  <mergeCells count="1">
    <mergeCell ref="A25:B25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workbookViewId="0">
      <selection activeCell="A4" sqref="A4"/>
    </sheetView>
  </sheetViews>
  <sheetFormatPr defaultRowHeight="14.4" x14ac:dyDescent="0.3"/>
  <cols>
    <col min="1" max="1" width="35.44140625" customWidth="1"/>
    <col min="2" max="2" width="14.33203125" customWidth="1"/>
    <col min="3" max="3" width="12.109375" customWidth="1"/>
    <col min="4" max="4" width="13.109375" customWidth="1"/>
    <col min="5" max="5" width="17.33203125" customWidth="1"/>
    <col min="6" max="7" width="16.6640625" customWidth="1"/>
    <col min="8" max="8" width="15.109375" bestFit="1" customWidth="1"/>
    <col min="9" max="9" width="12.6640625" customWidth="1"/>
  </cols>
  <sheetData>
    <row r="1" spans="1:14" ht="18" x14ac:dyDescent="0.35">
      <c r="A1" s="154" t="s">
        <v>105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28.8" x14ac:dyDescent="0.3">
      <c r="A2" s="1"/>
      <c r="B2" s="1" t="s">
        <v>91</v>
      </c>
      <c r="C2" s="85">
        <v>100000</v>
      </c>
      <c r="D2" s="44"/>
      <c r="H2" s="10"/>
      <c r="I2" s="85"/>
    </row>
    <row r="3" spans="1:14" x14ac:dyDescent="0.3">
      <c r="A3" s="1"/>
    </row>
    <row r="4" spans="1:14" x14ac:dyDescent="0.3">
      <c r="A4" s="1"/>
      <c r="B4" s="53">
        <v>2022</v>
      </c>
      <c r="C4" s="53">
        <v>2022</v>
      </c>
      <c r="D4" s="53">
        <v>2021</v>
      </c>
      <c r="E4" s="16">
        <v>2021</v>
      </c>
      <c r="F4" s="16" t="s">
        <v>89</v>
      </c>
      <c r="G4" s="16">
        <v>2024</v>
      </c>
      <c r="H4" s="16">
        <v>2023</v>
      </c>
      <c r="I4" s="16"/>
      <c r="J4" s="17"/>
    </row>
    <row r="5" spans="1:14" x14ac:dyDescent="0.3">
      <c r="A5" s="29"/>
      <c r="B5" s="87" t="s">
        <v>47</v>
      </c>
      <c r="C5" s="87" t="s">
        <v>48</v>
      </c>
      <c r="D5" s="87" t="s">
        <v>90</v>
      </c>
      <c r="E5" s="87" t="s">
        <v>49</v>
      </c>
      <c r="F5" s="87" t="s">
        <v>72</v>
      </c>
      <c r="G5" s="87" t="s">
        <v>98</v>
      </c>
      <c r="H5" s="87" t="s">
        <v>98</v>
      </c>
      <c r="I5" s="90"/>
      <c r="J5" s="91"/>
      <c r="K5" s="88"/>
    </row>
    <row r="6" spans="1:14" x14ac:dyDescent="0.3">
      <c r="A6" s="31" t="s">
        <v>55</v>
      </c>
      <c r="B6" s="129">
        <f>'Buying pool summary'!B7</f>
        <v>647984</v>
      </c>
      <c r="C6" s="133">
        <f t="shared" ref="C6:C21" si="0">B6/$B$21</f>
        <v>9.7989353980159691E-2</v>
      </c>
      <c r="D6" s="45">
        <f>'Buying pool summary'!D7</f>
        <v>516513</v>
      </c>
      <c r="E6" s="26">
        <f t="shared" ref="E6:E21" si="1">D6/$D$21</f>
        <v>8.7522725258592213E-2</v>
      </c>
      <c r="F6" s="64">
        <f t="shared" ref="F6:F20" si="2">(($C6*3)+$E6)/4</f>
        <v>9.5372696799767828E-2</v>
      </c>
      <c r="G6" s="15">
        <f t="shared" ref="G6:G20" si="3">(($C6*3)+$E6)/4*$C$2</f>
        <v>9537.2696799767837</v>
      </c>
      <c r="H6" s="21">
        <v>7705.0406067094045</v>
      </c>
      <c r="I6" s="14"/>
      <c r="J6" s="92"/>
      <c r="K6" s="89"/>
    </row>
    <row r="7" spans="1:14" x14ac:dyDescent="0.3">
      <c r="A7" s="1" t="s">
        <v>87</v>
      </c>
      <c r="B7" s="129">
        <f>'Buying pool summary'!B8</f>
        <v>624836</v>
      </c>
      <c r="C7" s="133">
        <f t="shared" si="0"/>
        <v>9.4488870070166944E-2</v>
      </c>
      <c r="D7" s="45">
        <f>'Buying pool summary'!D8</f>
        <v>479853</v>
      </c>
      <c r="E7" s="26">
        <f t="shared" si="1"/>
        <v>8.1310716832899171E-2</v>
      </c>
      <c r="F7" s="64">
        <f t="shared" si="2"/>
        <v>9.1194331760850011E-2</v>
      </c>
      <c r="G7" s="15">
        <f t="shared" si="3"/>
        <v>9119.4331760850018</v>
      </c>
      <c r="H7" s="21">
        <v>7354.7671270446372</v>
      </c>
      <c r="I7" s="14"/>
      <c r="J7" s="92"/>
      <c r="K7" s="89"/>
    </row>
    <row r="8" spans="1:14" x14ac:dyDescent="0.3">
      <c r="A8" s="31" t="s">
        <v>56</v>
      </c>
      <c r="B8" s="129">
        <f>'Buying pool summary'!B9</f>
        <v>137844</v>
      </c>
      <c r="C8" s="133">
        <f t="shared" si="0"/>
        <v>2.0845027824824582E-2</v>
      </c>
      <c r="D8" s="45">
        <f>'Buying pool summary'!D9</f>
        <v>171589</v>
      </c>
      <c r="E8" s="26">
        <f t="shared" si="1"/>
        <v>2.9075622306498735E-2</v>
      </c>
      <c r="F8" s="64">
        <f t="shared" si="2"/>
        <v>2.290267644524312E-2</v>
      </c>
      <c r="G8" s="15">
        <f t="shared" si="3"/>
        <v>2290.2676445243119</v>
      </c>
      <c r="H8" s="21">
        <v>1830.3124906799906</v>
      </c>
      <c r="I8" s="14"/>
      <c r="J8" s="92"/>
      <c r="K8" s="89"/>
    </row>
    <row r="9" spans="1:14" x14ac:dyDescent="0.3">
      <c r="A9" s="31" t="s">
        <v>58</v>
      </c>
      <c r="B9" s="129">
        <f>'Buying pool summary'!B10</f>
        <v>92432</v>
      </c>
      <c r="C9" s="133">
        <f t="shared" si="0"/>
        <v>1.3977740140333898E-2</v>
      </c>
      <c r="D9" s="45">
        <f>'Buying pool summary'!D10</f>
        <v>121699</v>
      </c>
      <c r="E9" s="26">
        <f t="shared" si="1"/>
        <v>2.0621800692810083E-2</v>
      </c>
      <c r="F9" s="64">
        <f t="shared" si="2"/>
        <v>1.5638755278452945E-2</v>
      </c>
      <c r="G9" s="15">
        <f t="shared" si="3"/>
        <v>1563.8755278452945</v>
      </c>
      <c r="H9" s="21">
        <v>1276.1938019898662</v>
      </c>
      <c r="I9" s="14"/>
      <c r="J9" s="92"/>
      <c r="K9" s="89"/>
    </row>
    <row r="10" spans="1:14" x14ac:dyDescent="0.3">
      <c r="A10" s="31" t="s">
        <v>59</v>
      </c>
      <c r="B10" s="129">
        <f>'Buying pool summary'!B11</f>
        <v>630809</v>
      </c>
      <c r="C10" s="133">
        <f t="shared" si="0"/>
        <v>9.539211831599323E-2</v>
      </c>
      <c r="D10" s="45">
        <f>'Buying pool summary'!D11</f>
        <v>947344</v>
      </c>
      <c r="E10" s="26">
        <f t="shared" si="1"/>
        <v>0.16052670240124797</v>
      </c>
      <c r="F10" s="64">
        <f t="shared" si="2"/>
        <v>0.11167576433730692</v>
      </c>
      <c r="G10" s="15">
        <f t="shared" si="3"/>
        <v>11167.576433730692</v>
      </c>
      <c r="H10" s="21">
        <v>8833.7725254797933</v>
      </c>
      <c r="I10" s="14"/>
      <c r="J10" s="92"/>
      <c r="K10" s="89"/>
    </row>
    <row r="11" spans="1:14" x14ac:dyDescent="0.3">
      <c r="A11" s="1" t="s">
        <v>60</v>
      </c>
      <c r="B11" s="129">
        <f>'Buying pool summary'!B12</f>
        <v>490807</v>
      </c>
      <c r="C11" s="133">
        <f t="shared" si="0"/>
        <v>7.4220753689813693E-2</v>
      </c>
      <c r="D11" s="45">
        <f>'Buying pool summary'!D12</f>
        <v>434568</v>
      </c>
      <c r="E11" s="26">
        <f t="shared" si="1"/>
        <v>7.363720887988473E-2</v>
      </c>
      <c r="F11" s="64">
        <f t="shared" si="2"/>
        <v>7.4074867487331456E-2</v>
      </c>
      <c r="G11" s="15">
        <f t="shared" si="3"/>
        <v>7407.4867487331458</v>
      </c>
      <c r="H11" s="21">
        <v>5874.260612054627</v>
      </c>
      <c r="I11" s="14"/>
      <c r="J11" s="92"/>
      <c r="K11" s="89"/>
    </row>
    <row r="12" spans="1:14" x14ac:dyDescent="0.3">
      <c r="A12" s="31" t="s">
        <v>79</v>
      </c>
      <c r="B12" s="129">
        <f>'Buying pool summary'!B13</f>
        <v>442420</v>
      </c>
      <c r="C12" s="133">
        <f t="shared" si="0"/>
        <v>6.6903580933946286E-2</v>
      </c>
      <c r="D12" s="45">
        <f>'Buying pool summary'!D13</f>
        <v>452002</v>
      </c>
      <c r="E12" s="26">
        <f t="shared" si="1"/>
        <v>7.6591386591110394E-2</v>
      </c>
      <c r="F12" s="64">
        <f t="shared" si="2"/>
        <v>6.9325532348237323E-2</v>
      </c>
      <c r="G12" s="15">
        <f t="shared" si="3"/>
        <v>6932.5532348237321</v>
      </c>
      <c r="H12" s="21">
        <v>5556.9126350219904</v>
      </c>
      <c r="I12" s="14"/>
      <c r="J12" s="92"/>
      <c r="K12" s="89"/>
    </row>
    <row r="13" spans="1:14" x14ac:dyDescent="0.3">
      <c r="A13" s="31" t="s">
        <v>62</v>
      </c>
      <c r="B13" s="129">
        <f>'Buying pool summary'!B14</f>
        <v>240764</v>
      </c>
      <c r="C13" s="133">
        <f t="shared" si="0"/>
        <v>3.6408782966368257E-2</v>
      </c>
      <c r="D13" s="45">
        <f>'Buying pool summary'!D14</f>
        <v>152619</v>
      </c>
      <c r="E13" s="26">
        <f t="shared" si="1"/>
        <v>2.5861170592494449E-2</v>
      </c>
      <c r="F13" s="64">
        <f t="shared" si="2"/>
        <v>3.3771879872899806E-2</v>
      </c>
      <c r="G13" s="15">
        <f t="shared" si="3"/>
        <v>3377.1879872899804</v>
      </c>
      <c r="H13" s="21">
        <v>2685.6802946937401</v>
      </c>
      <c r="I13" s="14"/>
      <c r="J13" s="92"/>
      <c r="K13" s="89"/>
    </row>
    <row r="14" spans="1:14" x14ac:dyDescent="0.3">
      <c r="A14" s="31" t="s">
        <v>78</v>
      </c>
      <c r="B14" s="129">
        <f>'Buying pool summary'!B15</f>
        <v>261272</v>
      </c>
      <c r="C14" s="133">
        <f t="shared" si="0"/>
        <v>3.9510041132349384E-2</v>
      </c>
      <c r="D14" s="45">
        <f>'Buying pool summary'!D15</f>
        <v>253868</v>
      </c>
      <c r="E14" s="26">
        <f t="shared" si="1"/>
        <v>4.3017734724872927E-2</v>
      </c>
      <c r="F14" s="64">
        <f t="shared" si="2"/>
        <v>4.0386964530480268E-2</v>
      </c>
      <c r="G14" s="15">
        <f t="shared" si="3"/>
        <v>4038.6964530480268</v>
      </c>
      <c r="H14" s="21">
        <v>3018.6952242489579</v>
      </c>
      <c r="I14" s="14"/>
      <c r="J14" s="92"/>
      <c r="K14" s="89"/>
    </row>
    <row r="15" spans="1:14" x14ac:dyDescent="0.3">
      <c r="A15" s="31" t="s">
        <v>133</v>
      </c>
      <c r="B15" s="129">
        <f>'Buying pool summary'!B16</f>
        <v>371777</v>
      </c>
      <c r="C15" s="133">
        <f t="shared" si="0"/>
        <v>5.622081417856279E-2</v>
      </c>
      <c r="D15" s="45">
        <f>'Buying pool summary'!D16</f>
        <v>452764</v>
      </c>
      <c r="E15" s="26">
        <f t="shared" si="1"/>
        <v>7.6720506897176355E-2</v>
      </c>
      <c r="F15" s="64">
        <f t="shared" si="2"/>
        <v>6.1345737358216183E-2</v>
      </c>
      <c r="G15" s="15">
        <f t="shared" si="3"/>
        <v>6134.5737358216184</v>
      </c>
      <c r="H15" s="21">
        <f>1743+3173</f>
        <v>4916</v>
      </c>
      <c r="I15" s="147"/>
      <c r="J15" s="92"/>
      <c r="K15" s="89"/>
    </row>
    <row r="16" spans="1:14" x14ac:dyDescent="0.3">
      <c r="A16" s="31" t="s">
        <v>64</v>
      </c>
      <c r="B16" s="129">
        <f>'Buying pool summary'!B17</f>
        <v>1551476</v>
      </c>
      <c r="C16" s="133">
        <f t="shared" si="0"/>
        <v>0.23461710621824342</v>
      </c>
      <c r="D16" s="45">
        <f>'Buying pool summary'!D17</f>
        <v>879576</v>
      </c>
      <c r="E16" s="26">
        <f t="shared" si="1"/>
        <v>0.14904346762240545</v>
      </c>
      <c r="F16" s="64">
        <f t="shared" si="2"/>
        <v>0.21322369656928392</v>
      </c>
      <c r="G16" s="15">
        <f t="shared" si="3"/>
        <v>21322.369656928393</v>
      </c>
      <c r="H16" s="21">
        <v>17086.746545024591</v>
      </c>
      <c r="I16" s="14"/>
      <c r="J16" s="92"/>
      <c r="K16" s="89"/>
    </row>
    <row r="17" spans="1:11" x14ac:dyDescent="0.3">
      <c r="A17" s="31" t="s">
        <v>65</v>
      </c>
      <c r="B17" s="129">
        <f>'Buying pool summary'!B18</f>
        <v>137408</v>
      </c>
      <c r="C17" s="133">
        <f t="shared" si="0"/>
        <v>2.0779095088313573E-2</v>
      </c>
      <c r="D17" s="45">
        <f>'Buying pool summary'!D18</f>
        <v>128425</v>
      </c>
      <c r="E17" s="26">
        <f t="shared" si="1"/>
        <v>2.1761516150289935E-2</v>
      </c>
      <c r="F17" s="64">
        <f t="shared" si="2"/>
        <v>2.1024700353807664E-2</v>
      </c>
      <c r="G17" s="15">
        <f t="shared" si="3"/>
        <v>2102.4700353807666</v>
      </c>
      <c r="H17" s="21">
        <v>1702.164603419574</v>
      </c>
      <c r="I17" s="14"/>
      <c r="J17" s="92"/>
      <c r="K17" s="89"/>
    </row>
    <row r="18" spans="1:11" x14ac:dyDescent="0.3">
      <c r="A18" s="31" t="s">
        <v>66</v>
      </c>
      <c r="B18" s="129">
        <f>'Buying pool summary'!B19</f>
        <v>344617</v>
      </c>
      <c r="C18" s="133">
        <f t="shared" si="0"/>
        <v>5.2113628115170577E-2</v>
      </c>
      <c r="D18" s="45">
        <f>'Buying pool summary'!D19</f>
        <v>291002</v>
      </c>
      <c r="E18" s="26">
        <f t="shared" si="1"/>
        <v>4.9310062081110939E-2</v>
      </c>
      <c r="F18" s="64">
        <f t="shared" si="2"/>
        <v>5.1412736606655671E-2</v>
      </c>
      <c r="G18" s="15">
        <f t="shared" si="3"/>
        <v>5141.2736606655671</v>
      </c>
      <c r="H18" s="21">
        <v>4101.3538007020907</v>
      </c>
      <c r="I18" s="14"/>
      <c r="J18" s="92"/>
      <c r="K18" s="89"/>
    </row>
    <row r="19" spans="1:11" x14ac:dyDescent="0.3">
      <c r="A19" s="31" t="s">
        <v>67</v>
      </c>
      <c r="B19" s="129">
        <f>'Buying pool summary'!B20</f>
        <v>309434</v>
      </c>
      <c r="C19" s="133">
        <f t="shared" si="0"/>
        <v>4.6793188966852167E-2</v>
      </c>
      <c r="D19" s="45">
        <f>'Buying pool summary'!D20</f>
        <v>333010</v>
      </c>
      <c r="E19" s="26">
        <f t="shared" si="1"/>
        <v>5.6428284938353529E-2</v>
      </c>
      <c r="F19" s="64">
        <f t="shared" si="2"/>
        <v>4.9201962959727508E-2</v>
      </c>
      <c r="G19" s="15">
        <f t="shared" si="3"/>
        <v>4920.1962959727507</v>
      </c>
      <c r="H19" s="21">
        <v>4098.2396144513959</v>
      </c>
      <c r="I19" s="14"/>
      <c r="J19" s="92"/>
      <c r="K19" s="89"/>
    </row>
    <row r="20" spans="1:11" x14ac:dyDescent="0.3">
      <c r="A20" s="31" t="s">
        <v>68</v>
      </c>
      <c r="B20" s="129">
        <f>'Buying pool summary'!B21</f>
        <v>328920</v>
      </c>
      <c r="C20" s="133">
        <f t="shared" si="0"/>
        <v>4.9739898378901526E-2</v>
      </c>
      <c r="D20" s="45">
        <f>'Buying pool summary'!D21</f>
        <v>286641</v>
      </c>
      <c r="E20" s="26">
        <f t="shared" si="1"/>
        <v>4.8571094030253122E-2</v>
      </c>
      <c r="F20" s="64">
        <f t="shared" si="2"/>
        <v>4.9447697291739423E-2</v>
      </c>
      <c r="G20" s="15">
        <f t="shared" si="3"/>
        <v>4944.7697291739423</v>
      </c>
      <c r="H20" s="21">
        <v>3960.256424327928</v>
      </c>
      <c r="I20" s="14"/>
      <c r="J20" s="92"/>
      <c r="K20" s="89"/>
    </row>
    <row r="21" spans="1:11" x14ac:dyDescent="0.3">
      <c r="A21" s="7" t="s">
        <v>69</v>
      </c>
      <c r="B21" s="130">
        <f>SUM(B6:B20)</f>
        <v>6612800</v>
      </c>
      <c r="C21" s="133">
        <f t="shared" si="0"/>
        <v>1</v>
      </c>
      <c r="D21" s="25">
        <f>SUM(D6:D20)</f>
        <v>5901473</v>
      </c>
      <c r="E21" s="26">
        <f t="shared" si="1"/>
        <v>1</v>
      </c>
      <c r="F21" s="26">
        <f>SUM(F6:F20)</f>
        <v>1</v>
      </c>
      <c r="G21" s="102">
        <f>SUM(G6:G20)</f>
        <v>100000.00000000001</v>
      </c>
      <c r="H21" s="21">
        <f>SUM(H6:H20)</f>
        <v>80000.396305848582</v>
      </c>
      <c r="I21" s="11"/>
      <c r="J21" s="47"/>
      <c r="K21" s="46"/>
    </row>
    <row r="22" spans="1:11" x14ac:dyDescent="0.3">
      <c r="B22" s="119"/>
    </row>
    <row r="24" spans="1:11" x14ac:dyDescent="0.3">
      <c r="A24" s="156" t="s">
        <v>134</v>
      </c>
      <c r="B24" s="158"/>
    </row>
    <row r="25" spans="1:11" x14ac:dyDescent="0.3">
      <c r="A25" s="201" t="s">
        <v>135</v>
      </c>
      <c r="B25" s="202"/>
      <c r="C25" s="166"/>
      <c r="D25" s="166"/>
      <c r="E25" s="166"/>
      <c r="F25" s="166"/>
      <c r="G25" s="166"/>
    </row>
    <row r="26" spans="1:11" x14ac:dyDescent="0.3">
      <c r="A26" s="159"/>
      <c r="B26" s="167" t="s">
        <v>98</v>
      </c>
    </row>
    <row r="27" spans="1:11" x14ac:dyDescent="0.3">
      <c r="A27" s="159" t="s">
        <v>54</v>
      </c>
      <c r="B27" s="168">
        <v>1742.5171490165769</v>
      </c>
    </row>
    <row r="28" spans="1:11" x14ac:dyDescent="0.3">
      <c r="A28" s="159" t="s">
        <v>57</v>
      </c>
      <c r="B28" s="168">
        <v>3173.0865451348423</v>
      </c>
    </row>
    <row r="29" spans="1:11" x14ac:dyDescent="0.3">
      <c r="A29" s="161" t="s">
        <v>136</v>
      </c>
      <c r="B29" s="169">
        <f>SUM(B27:B28)</f>
        <v>4915.6036941514194</v>
      </c>
    </row>
  </sheetData>
  <mergeCells count="2">
    <mergeCell ref="A25:B25"/>
    <mergeCell ref="A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46"/>
  <sheetViews>
    <sheetView zoomScaleNormal="100" workbookViewId="0">
      <selection activeCell="A2" sqref="A2"/>
    </sheetView>
  </sheetViews>
  <sheetFormatPr defaultColWidth="9.33203125" defaultRowHeight="14.4" x14ac:dyDescent="0.3"/>
  <cols>
    <col min="1" max="1" width="38.44140625" style="1" customWidth="1"/>
    <col min="2" max="2" width="11.6640625" customWidth="1"/>
    <col min="3" max="3" width="9.6640625" customWidth="1"/>
    <col min="4" max="4" width="13.6640625" customWidth="1"/>
    <col min="5" max="6" width="15.33203125" customWidth="1"/>
    <col min="7" max="7" width="17.6640625" customWidth="1"/>
    <col min="8" max="8" width="15.44140625" customWidth="1"/>
    <col min="9" max="9" width="16.5546875" customWidth="1"/>
    <col min="10" max="10" width="22.6640625" bestFit="1" customWidth="1"/>
    <col min="11" max="11" width="26.6640625" customWidth="1"/>
    <col min="12" max="12" width="11.5546875" bestFit="1" customWidth="1"/>
    <col min="13" max="13" width="10.5546875" bestFit="1" customWidth="1"/>
  </cols>
  <sheetData>
    <row r="2" spans="1:14" x14ac:dyDescent="0.3">
      <c r="D2" s="44"/>
      <c r="G2" s="10" t="s">
        <v>41</v>
      </c>
      <c r="H2" s="85">
        <v>1316888</v>
      </c>
      <c r="I2" t="s">
        <v>42</v>
      </c>
    </row>
    <row r="3" spans="1:14" x14ac:dyDescent="0.3">
      <c r="D3" s="44"/>
      <c r="E3" s="86"/>
      <c r="G3" s="10" t="s">
        <v>43</v>
      </c>
      <c r="H3" s="85">
        <v>157500</v>
      </c>
      <c r="I3" t="s">
        <v>44</v>
      </c>
    </row>
    <row r="4" spans="1:14" x14ac:dyDescent="0.3">
      <c r="D4" s="86"/>
      <c r="E4" s="86"/>
      <c r="G4" s="107" t="s">
        <v>81</v>
      </c>
      <c r="H4" s="108">
        <f>SUM(H2:H3)</f>
        <v>1474388</v>
      </c>
    </row>
    <row r="5" spans="1:14" x14ac:dyDescent="0.3">
      <c r="B5" s="53">
        <v>2022</v>
      </c>
      <c r="C5" s="53">
        <v>2022</v>
      </c>
      <c r="D5" s="53">
        <v>2021</v>
      </c>
      <c r="E5" s="53">
        <v>2021</v>
      </c>
      <c r="F5" s="16" t="s">
        <v>41</v>
      </c>
      <c r="G5" s="10" t="s">
        <v>45</v>
      </c>
      <c r="H5" s="53">
        <v>2022</v>
      </c>
      <c r="I5" s="16">
        <v>2022</v>
      </c>
      <c r="J5" s="10" t="s">
        <v>43</v>
      </c>
      <c r="K5" s="125">
        <v>2024</v>
      </c>
      <c r="L5" s="17">
        <v>2023</v>
      </c>
    </row>
    <row r="6" spans="1:14" x14ac:dyDescent="0.3">
      <c r="A6" s="29"/>
      <c r="B6" s="19" t="s">
        <v>117</v>
      </c>
      <c r="C6" s="19" t="s">
        <v>48</v>
      </c>
      <c r="D6" s="131" t="s">
        <v>88</v>
      </c>
      <c r="E6" s="131" t="s">
        <v>49</v>
      </c>
      <c r="F6" s="19" t="s">
        <v>72</v>
      </c>
      <c r="G6" s="49" t="s">
        <v>50</v>
      </c>
      <c r="H6" s="50" t="s">
        <v>51</v>
      </c>
      <c r="I6" s="19" t="s">
        <v>52</v>
      </c>
      <c r="J6" s="19" t="s">
        <v>53</v>
      </c>
      <c r="K6" s="126" t="s">
        <v>85</v>
      </c>
      <c r="L6" s="51" t="s">
        <v>84</v>
      </c>
      <c r="M6" s="52" t="s">
        <v>74</v>
      </c>
    </row>
    <row r="7" spans="1:14" x14ac:dyDescent="0.3">
      <c r="A7" s="31" t="s">
        <v>55</v>
      </c>
      <c r="B7" s="129">
        <v>647984</v>
      </c>
      <c r="C7" s="26">
        <f t="shared" ref="C7:C21" si="0">B7/$B$22</f>
        <v>9.7989353980159691E-2</v>
      </c>
      <c r="D7" s="132">
        <v>516513</v>
      </c>
      <c r="E7" s="26">
        <f t="shared" ref="E7:E15" si="1">D7/$D$22</f>
        <v>8.7522725258592213E-2</v>
      </c>
      <c r="F7" s="63">
        <f t="shared" ref="F7:F21" si="2">(($C7*3)+$E7)/4</f>
        <v>9.5372696799767828E-2</v>
      </c>
      <c r="G7" s="21">
        <f>((C7*3)+E7)/4*$H$2</f>
        <v>125595.15994325266</v>
      </c>
      <c r="H7" s="134">
        <v>408417</v>
      </c>
      <c r="I7" s="64">
        <f t="shared" ref="I7:I21" si="3">H7/$H$22</f>
        <v>0.10936528466191628</v>
      </c>
      <c r="J7" s="21">
        <f t="shared" ref="J7:J21" si="4">I7*$H$3</f>
        <v>17225.032334251813</v>
      </c>
      <c r="K7" s="127">
        <f t="shared" ref="K7:K21" si="5">G7+J7</f>
        <v>142820.19227750448</v>
      </c>
      <c r="L7" s="42">
        <v>138003.87504342326</v>
      </c>
      <c r="M7" s="56">
        <f>K7-L7</f>
        <v>4816.3172340812162</v>
      </c>
    </row>
    <row r="8" spans="1:14" x14ac:dyDescent="0.3">
      <c r="A8" s="1" t="s">
        <v>87</v>
      </c>
      <c r="B8" s="129">
        <v>624836</v>
      </c>
      <c r="C8" s="26">
        <f t="shared" si="0"/>
        <v>9.4488870070166944E-2</v>
      </c>
      <c r="D8" s="132">
        <v>479853</v>
      </c>
      <c r="E8" s="26">
        <f t="shared" si="1"/>
        <v>8.1310716832899171E-2</v>
      </c>
      <c r="F8" s="63">
        <f t="shared" si="2"/>
        <v>9.1194331760850011E-2</v>
      </c>
      <c r="G8" s="21">
        <f t="shared" ref="G8:G21" si="6">((C8*3)+E8)/4*$H$2</f>
        <v>120092.72116388225</v>
      </c>
      <c r="H8" s="134">
        <v>350277</v>
      </c>
      <c r="I8" s="64">
        <f t="shared" si="3"/>
        <v>9.3796643664494986E-2</v>
      </c>
      <c r="J8" s="21">
        <f t="shared" si="4"/>
        <v>14772.971377157961</v>
      </c>
      <c r="K8" s="127">
        <f t="shared" si="5"/>
        <v>134865.69254104022</v>
      </c>
      <c r="L8" s="42">
        <v>129774.46277785102</v>
      </c>
      <c r="M8" s="56">
        <f t="shared" ref="M8:M21" si="7">K8-L8</f>
        <v>5091.2297631891997</v>
      </c>
    </row>
    <row r="9" spans="1:14" x14ac:dyDescent="0.3">
      <c r="A9" s="31" t="s">
        <v>56</v>
      </c>
      <c r="B9" s="129">
        <v>137844</v>
      </c>
      <c r="C9" s="26">
        <f t="shared" si="0"/>
        <v>2.0845027824824582E-2</v>
      </c>
      <c r="D9" s="132">
        <v>171589</v>
      </c>
      <c r="E9" s="26">
        <f t="shared" si="1"/>
        <v>2.9075622306498735E-2</v>
      </c>
      <c r="F9" s="63">
        <f t="shared" si="2"/>
        <v>2.290267644524312E-2</v>
      </c>
      <c r="G9" s="21">
        <f t="shared" si="6"/>
        <v>30160.259778623324</v>
      </c>
      <c r="H9" s="134">
        <v>80997</v>
      </c>
      <c r="I9" s="64">
        <f t="shared" si="3"/>
        <v>2.1689253781701626E-2</v>
      </c>
      <c r="J9" s="21">
        <f t="shared" si="4"/>
        <v>3416.0574706180059</v>
      </c>
      <c r="K9" s="127">
        <f t="shared" si="5"/>
        <v>33576.317249241329</v>
      </c>
      <c r="L9" s="42">
        <v>31954.420627736577</v>
      </c>
      <c r="M9" s="56">
        <f t="shared" si="7"/>
        <v>1621.8966215047512</v>
      </c>
    </row>
    <row r="10" spans="1:14" x14ac:dyDescent="0.3">
      <c r="A10" s="31" t="s">
        <v>58</v>
      </c>
      <c r="B10" s="129">
        <v>92432</v>
      </c>
      <c r="C10" s="26">
        <f t="shared" si="0"/>
        <v>1.3977740140333898E-2</v>
      </c>
      <c r="D10" s="132">
        <v>121699</v>
      </c>
      <c r="E10" s="26">
        <f t="shared" si="1"/>
        <v>2.0621800692810083E-2</v>
      </c>
      <c r="F10" s="63">
        <f t="shared" si="2"/>
        <v>1.5638755278452945E-2</v>
      </c>
      <c r="G10" s="21">
        <f t="shared" si="6"/>
        <v>20594.489161131343</v>
      </c>
      <c r="H10" s="134">
        <v>45543</v>
      </c>
      <c r="I10" s="64">
        <f t="shared" si="3"/>
        <v>1.2195435447980013E-2</v>
      </c>
      <c r="J10" s="21">
        <f t="shared" si="4"/>
        <v>1920.7810830568521</v>
      </c>
      <c r="K10" s="127">
        <f t="shared" si="5"/>
        <v>22515.270244188196</v>
      </c>
      <c r="L10" s="42">
        <v>21958.319485989003</v>
      </c>
      <c r="M10" s="56">
        <f t="shared" si="7"/>
        <v>556.95075819919293</v>
      </c>
    </row>
    <row r="11" spans="1:14" ht="16.2" customHeight="1" x14ac:dyDescent="0.3">
      <c r="A11" s="31" t="s">
        <v>59</v>
      </c>
      <c r="B11" s="129">
        <v>630809</v>
      </c>
      <c r="C11" s="26">
        <f t="shared" si="0"/>
        <v>9.539211831599323E-2</v>
      </c>
      <c r="D11" s="132">
        <v>947344</v>
      </c>
      <c r="E11" s="26">
        <f t="shared" si="1"/>
        <v>0.16052670240124797</v>
      </c>
      <c r="F11" s="63">
        <f t="shared" si="2"/>
        <v>0.11167576433730692</v>
      </c>
      <c r="G11" s="21">
        <f t="shared" si="6"/>
        <v>147064.47394662743</v>
      </c>
      <c r="H11" s="134">
        <v>405553</v>
      </c>
      <c r="I11" s="64">
        <f t="shared" si="3"/>
        <v>0.1085983670868111</v>
      </c>
      <c r="J11" s="21">
        <f t="shared" si="4"/>
        <v>17104.242816172748</v>
      </c>
      <c r="K11" s="127">
        <f t="shared" si="5"/>
        <v>164168.71676280018</v>
      </c>
      <c r="L11" s="42">
        <v>154346.9056897847</v>
      </c>
      <c r="M11" s="56">
        <f t="shared" si="7"/>
        <v>9821.8110730154731</v>
      </c>
    </row>
    <row r="12" spans="1:14" x14ac:dyDescent="0.3">
      <c r="A12" s="1" t="s">
        <v>60</v>
      </c>
      <c r="B12" s="129">
        <v>490807</v>
      </c>
      <c r="C12" s="26">
        <f t="shared" si="0"/>
        <v>7.4220753689813693E-2</v>
      </c>
      <c r="D12" s="132">
        <v>434568</v>
      </c>
      <c r="E12" s="26">
        <f t="shared" si="1"/>
        <v>7.363720887988473E-2</v>
      </c>
      <c r="F12" s="63">
        <f t="shared" si="2"/>
        <v>7.4074867487331456E-2</v>
      </c>
      <c r="G12" s="21">
        <f>((C12*3)+E12)/4*$H$2</f>
        <v>97548.304095656946</v>
      </c>
      <c r="H12" s="134">
        <v>255415</v>
      </c>
      <c r="I12" s="64">
        <f t="shared" si="3"/>
        <v>6.8394641216999646E-2</v>
      </c>
      <c r="J12" s="21">
        <f>I12*$H$3</f>
        <v>10772.155991677444</v>
      </c>
      <c r="K12" s="127">
        <f t="shared" si="5"/>
        <v>108320.46008733439</v>
      </c>
      <c r="L12" s="42">
        <v>103085.35318767813</v>
      </c>
      <c r="M12" s="56">
        <f t="shared" si="7"/>
        <v>5235.1068996562535</v>
      </c>
    </row>
    <row r="13" spans="1:14" x14ac:dyDescent="0.3">
      <c r="A13" s="31" t="s">
        <v>61</v>
      </c>
      <c r="B13" s="129">
        <v>442420</v>
      </c>
      <c r="C13" s="26">
        <f t="shared" si="0"/>
        <v>6.6903580933946286E-2</v>
      </c>
      <c r="D13" s="129">
        <v>452002</v>
      </c>
      <c r="E13" s="26">
        <f t="shared" si="1"/>
        <v>7.6591386591110394E-2</v>
      </c>
      <c r="F13" s="63">
        <f t="shared" si="2"/>
        <v>6.9325532348237323E-2</v>
      </c>
      <c r="G13" s="21">
        <f>((C13*3)+E13)/4*$H$2</f>
        <v>91293.961643005547</v>
      </c>
      <c r="H13" s="134">
        <v>249662</v>
      </c>
      <c r="I13" s="64">
        <f t="shared" si="3"/>
        <v>6.6854111604716118E-2</v>
      </c>
      <c r="J13" s="21">
        <f t="shared" si="4"/>
        <v>10529.52257774279</v>
      </c>
      <c r="K13" s="127">
        <f t="shared" si="5"/>
        <v>101823.48422074833</v>
      </c>
      <c r="L13" s="42">
        <v>97533.937688948703</v>
      </c>
      <c r="M13" s="56">
        <f t="shared" si="7"/>
        <v>4289.5465317996277</v>
      </c>
    </row>
    <row r="14" spans="1:14" x14ac:dyDescent="0.3">
      <c r="A14" s="31" t="s">
        <v>62</v>
      </c>
      <c r="B14" s="129">
        <v>240764</v>
      </c>
      <c r="C14" s="26">
        <f t="shared" si="0"/>
        <v>3.6408782966368257E-2</v>
      </c>
      <c r="D14" s="132">
        <v>152619</v>
      </c>
      <c r="E14" s="26">
        <f t="shared" si="1"/>
        <v>2.5861170592494449E-2</v>
      </c>
      <c r="F14" s="63">
        <f t="shared" si="2"/>
        <v>3.3771879872899806E-2</v>
      </c>
      <c r="G14" s="21">
        <f t="shared" si="6"/>
        <v>44473.783342063281</v>
      </c>
      <c r="H14" s="134">
        <v>116386</v>
      </c>
      <c r="I14" s="64">
        <f t="shared" si="3"/>
        <v>3.1165666514032932E-2</v>
      </c>
      <c r="J14" s="21">
        <f t="shared" si="4"/>
        <v>4908.5924759601867</v>
      </c>
      <c r="K14" s="127">
        <f t="shared" si="5"/>
        <v>49382.375818023465</v>
      </c>
      <c r="L14" s="42">
        <v>47006.703292014543</v>
      </c>
      <c r="M14" s="56">
        <f t="shared" si="7"/>
        <v>2375.6725260089224</v>
      </c>
    </row>
    <row r="15" spans="1:14" ht="15.6" customHeight="1" x14ac:dyDescent="0.3">
      <c r="A15" s="31" t="s">
        <v>63</v>
      </c>
      <c r="B15" s="129">
        <v>261272</v>
      </c>
      <c r="C15" s="26">
        <f t="shared" si="0"/>
        <v>3.9510041132349384E-2</v>
      </c>
      <c r="D15" s="129">
        <v>253868</v>
      </c>
      <c r="E15" s="26">
        <f t="shared" si="1"/>
        <v>4.3017734724872927E-2</v>
      </c>
      <c r="F15" s="63">
        <f t="shared" si="2"/>
        <v>4.0386964530480268E-2</v>
      </c>
      <c r="G15" s="21">
        <f t="shared" si="6"/>
        <v>53185.108946615102</v>
      </c>
      <c r="H15" s="134">
        <v>147439</v>
      </c>
      <c r="I15" s="64">
        <f t="shared" si="3"/>
        <v>3.948099174438937E-2</v>
      </c>
      <c r="J15" s="21">
        <f t="shared" si="4"/>
        <v>6218.2561997413259</v>
      </c>
      <c r="K15" s="127">
        <f t="shared" si="5"/>
        <v>59403.365146356431</v>
      </c>
      <c r="L15" s="42">
        <v>52909.942937260646</v>
      </c>
      <c r="M15" s="56">
        <f t="shared" si="7"/>
        <v>6493.4222090957846</v>
      </c>
    </row>
    <row r="16" spans="1:14" ht="15.6" customHeight="1" x14ac:dyDescent="0.3">
      <c r="A16" s="31" t="s">
        <v>138</v>
      </c>
      <c r="B16" s="129">
        <v>371777</v>
      </c>
      <c r="C16" s="26">
        <f t="shared" si="0"/>
        <v>5.622081417856279E-2</v>
      </c>
      <c r="D16" s="129">
        <v>452764</v>
      </c>
      <c r="E16" s="26">
        <f t="shared" ref="E16:E17" si="8">D16/$D$22</f>
        <v>7.6720506897176355E-2</v>
      </c>
      <c r="F16" s="63">
        <f t="shared" si="2"/>
        <v>6.1345737358216183E-2</v>
      </c>
      <c r="G16" s="21">
        <f t="shared" si="6"/>
        <v>80785.465378186593</v>
      </c>
      <c r="H16" s="134">
        <v>198169</v>
      </c>
      <c r="I16" s="64">
        <f t="shared" si="3"/>
        <v>5.3065394183315795E-2</v>
      </c>
      <c r="J16" s="21">
        <f>I16*$H$3</f>
        <v>8357.7995838722381</v>
      </c>
      <c r="K16" s="127">
        <f t="shared" si="5"/>
        <v>89143.264962058834</v>
      </c>
      <c r="L16" s="135">
        <f>29991+55278</f>
        <v>85269</v>
      </c>
      <c r="M16" s="56">
        <f t="shared" si="7"/>
        <v>3874.2649620588345</v>
      </c>
      <c r="N16" s="147"/>
    </row>
    <row r="17" spans="1:13" x14ac:dyDescent="0.3">
      <c r="A17" s="31" t="s">
        <v>64</v>
      </c>
      <c r="B17" s="129">
        <v>1551476</v>
      </c>
      <c r="C17" s="26">
        <f t="shared" si="0"/>
        <v>0.23461710621824342</v>
      </c>
      <c r="D17" s="132">
        <v>879576</v>
      </c>
      <c r="E17" s="26">
        <f t="shared" si="8"/>
        <v>0.14904346762240545</v>
      </c>
      <c r="F17" s="63">
        <f t="shared" si="2"/>
        <v>0.21322369656928392</v>
      </c>
      <c r="G17" s="21">
        <f t="shared" si="6"/>
        <v>280791.72732773115</v>
      </c>
      <c r="H17" s="134">
        <v>873402</v>
      </c>
      <c r="I17" s="64">
        <f t="shared" si="3"/>
        <v>0.23387826254609137</v>
      </c>
      <c r="J17" s="21">
        <f t="shared" si="4"/>
        <v>36835.826351009389</v>
      </c>
      <c r="K17" s="127">
        <f t="shared" si="5"/>
        <v>317627.55367874051</v>
      </c>
      <c r="L17" s="42">
        <v>305788.69860697875</v>
      </c>
      <c r="M17" s="56">
        <f t="shared" si="7"/>
        <v>11838.855071761762</v>
      </c>
    </row>
    <row r="18" spans="1:13" x14ac:dyDescent="0.3">
      <c r="A18" s="31" t="s">
        <v>65</v>
      </c>
      <c r="B18" s="129">
        <v>137408</v>
      </c>
      <c r="C18" s="26">
        <f t="shared" si="0"/>
        <v>2.0779095088313573E-2</v>
      </c>
      <c r="D18" s="132">
        <v>128425</v>
      </c>
      <c r="E18" s="26">
        <f>D18/$D$22</f>
        <v>2.1761516150289935E-2</v>
      </c>
      <c r="F18" s="63">
        <f t="shared" si="2"/>
        <v>2.1024700353807664E-2</v>
      </c>
      <c r="G18" s="21">
        <f t="shared" si="6"/>
        <v>27687.175599525068</v>
      </c>
      <c r="H18" s="134">
        <v>65057</v>
      </c>
      <c r="I18" s="64">
        <f t="shared" si="3"/>
        <v>1.7420864763832766E-2</v>
      </c>
      <c r="J18" s="21">
        <f>I18*$H$3</f>
        <v>2743.7862003036607</v>
      </c>
      <c r="K18" s="127">
        <f t="shared" si="5"/>
        <v>30430.961799828729</v>
      </c>
      <c r="L18" s="42">
        <v>29369.797622518672</v>
      </c>
      <c r="M18" s="56">
        <f t="shared" si="7"/>
        <v>1061.1641773100564</v>
      </c>
    </row>
    <row r="19" spans="1:13" x14ac:dyDescent="0.3">
      <c r="A19" s="31" t="s">
        <v>66</v>
      </c>
      <c r="B19" s="129">
        <v>344617</v>
      </c>
      <c r="C19" s="26">
        <f t="shared" si="0"/>
        <v>5.2113628115170577E-2</v>
      </c>
      <c r="D19" s="132">
        <v>291002</v>
      </c>
      <c r="E19" s="26">
        <f>D19/$D$22</f>
        <v>4.9310062081110939E-2</v>
      </c>
      <c r="F19" s="63">
        <f t="shared" si="2"/>
        <v>5.1412736606655671E-2</v>
      </c>
      <c r="G19" s="21">
        <f t="shared" si="6"/>
        <v>67704.81588446557</v>
      </c>
      <c r="H19" s="134">
        <v>163336</v>
      </c>
      <c r="I19" s="64">
        <f t="shared" si="3"/>
        <v>4.3737866287492336E-2</v>
      </c>
      <c r="J19" s="21">
        <f t="shared" si="4"/>
        <v>6888.7139402800431</v>
      </c>
      <c r="K19" s="127">
        <f t="shared" si="5"/>
        <v>74593.529824745608</v>
      </c>
      <c r="L19" s="42">
        <v>71047.973332339679</v>
      </c>
      <c r="M19" s="56">
        <f t="shared" si="7"/>
        <v>3545.556492405929</v>
      </c>
    </row>
    <row r="20" spans="1:13" x14ac:dyDescent="0.3">
      <c r="A20" s="31" t="s">
        <v>67</v>
      </c>
      <c r="B20" s="129">
        <v>309434</v>
      </c>
      <c r="C20" s="26">
        <f t="shared" si="0"/>
        <v>4.6793188966852167E-2</v>
      </c>
      <c r="D20" s="132">
        <v>333010</v>
      </c>
      <c r="E20" s="26">
        <f>D20/$D$22</f>
        <v>5.6428284938353529E-2</v>
      </c>
      <c r="F20" s="63">
        <f t="shared" si="2"/>
        <v>4.9201962959727508E-2</v>
      </c>
      <c r="G20" s="21">
        <f t="shared" si="6"/>
        <v>64793.474598109635</v>
      </c>
      <c r="H20" s="134">
        <v>223322</v>
      </c>
      <c r="I20" s="64">
        <f t="shared" si="3"/>
        <v>5.9800826364398318E-2</v>
      </c>
      <c r="J20" s="21">
        <f t="shared" si="4"/>
        <v>9418.6301523927359</v>
      </c>
      <c r="K20" s="127">
        <f t="shared" si="5"/>
        <v>74212.104750502374</v>
      </c>
      <c r="L20" s="42">
        <v>71217.844880003453</v>
      </c>
      <c r="M20" s="56">
        <f t="shared" si="7"/>
        <v>2994.2598704989214</v>
      </c>
    </row>
    <row r="21" spans="1:13" x14ac:dyDescent="0.3">
      <c r="A21" s="31" t="s">
        <v>68</v>
      </c>
      <c r="B21" s="129">
        <v>328920</v>
      </c>
      <c r="C21" s="26">
        <f t="shared" si="0"/>
        <v>4.9739898378901526E-2</v>
      </c>
      <c r="D21" s="132">
        <v>286641</v>
      </c>
      <c r="E21" s="26">
        <f>D21/$D$22</f>
        <v>4.8571094030253122E-2</v>
      </c>
      <c r="F21" s="63">
        <f t="shared" si="2"/>
        <v>4.9447697291739423E-2</v>
      </c>
      <c r="G21" s="21">
        <f t="shared" si="6"/>
        <v>65117.079191124147</v>
      </c>
      <c r="H21" s="134">
        <v>151455</v>
      </c>
      <c r="I21" s="64">
        <f t="shared" si="3"/>
        <v>4.0556390131827345E-2</v>
      </c>
      <c r="J21" s="21">
        <f t="shared" si="4"/>
        <v>6387.6314457628068</v>
      </c>
      <c r="K21" s="127">
        <f t="shared" si="5"/>
        <v>71504.710636886957</v>
      </c>
      <c r="L21" s="42">
        <v>68398.336854222624</v>
      </c>
      <c r="M21" s="56">
        <f t="shared" si="7"/>
        <v>3106.3737826643337</v>
      </c>
    </row>
    <row r="22" spans="1:13" x14ac:dyDescent="0.3">
      <c r="A22" s="7" t="s">
        <v>69</v>
      </c>
      <c r="B22" s="130">
        <f t="shared" ref="B22:K22" si="9">SUM(B7:B21)</f>
        <v>6612800</v>
      </c>
      <c r="C22" s="26">
        <f t="shared" si="9"/>
        <v>1</v>
      </c>
      <c r="D22" s="130">
        <f t="shared" si="9"/>
        <v>5901473</v>
      </c>
      <c r="E22" s="26">
        <f t="shared" si="9"/>
        <v>1</v>
      </c>
      <c r="F22" s="26">
        <f t="shared" si="9"/>
        <v>1</v>
      </c>
      <c r="G22" s="11">
        <f t="shared" si="9"/>
        <v>1316888</v>
      </c>
      <c r="H22" s="134">
        <f t="shared" si="9"/>
        <v>3734430</v>
      </c>
      <c r="I22" s="32">
        <f t="shared" si="9"/>
        <v>0.99999999999999989</v>
      </c>
      <c r="J22" s="11">
        <f t="shared" si="9"/>
        <v>157500.00000000003</v>
      </c>
      <c r="K22" s="128">
        <f t="shared" si="9"/>
        <v>1474388</v>
      </c>
      <c r="L22" s="148">
        <f>SUM(L7:L21)</f>
        <v>1407665.5720267498</v>
      </c>
      <c r="M22" s="56"/>
    </row>
    <row r="23" spans="1:13" x14ac:dyDescent="0.3">
      <c r="D23" s="86"/>
      <c r="H23" s="22"/>
    </row>
    <row r="24" spans="1:13" x14ac:dyDescent="0.3">
      <c r="A24" s="28" t="s">
        <v>100</v>
      </c>
      <c r="D24" s="86"/>
    </row>
    <row r="25" spans="1:13" ht="28.8" x14ac:dyDescent="0.3">
      <c r="A25" s="1" t="s">
        <v>70</v>
      </c>
      <c r="I25" s="48"/>
    </row>
    <row r="26" spans="1:13" ht="28.8" x14ac:dyDescent="0.3">
      <c r="A26" s="170" t="s">
        <v>71</v>
      </c>
      <c r="I26" s="48"/>
    </row>
    <row r="27" spans="1:13" x14ac:dyDescent="0.3">
      <c r="A27" s="171" t="s">
        <v>118</v>
      </c>
      <c r="B27" s="86"/>
      <c r="C27" s="86"/>
      <c r="D27" s="86"/>
      <c r="I27" s="48"/>
    </row>
    <row r="28" spans="1:13" x14ac:dyDescent="0.3">
      <c r="A28" s="171" t="s">
        <v>119</v>
      </c>
      <c r="B28" s="86"/>
      <c r="C28" s="86"/>
      <c r="D28" s="86"/>
      <c r="I28" s="48"/>
    </row>
    <row r="29" spans="1:13" x14ac:dyDescent="0.3">
      <c r="A29" s="172" t="s">
        <v>120</v>
      </c>
      <c r="B29" s="109"/>
      <c r="C29" s="109"/>
      <c r="D29" s="86"/>
      <c r="I29" s="48"/>
    </row>
    <row r="30" spans="1:13" ht="16.95" customHeight="1" x14ac:dyDescent="0.3">
      <c r="A30" s="171" t="s">
        <v>121</v>
      </c>
      <c r="B30" s="86"/>
      <c r="C30" s="86"/>
      <c r="D30" s="86"/>
      <c r="I30" s="48"/>
    </row>
    <row r="31" spans="1:13" ht="16.95" customHeight="1" x14ac:dyDescent="0.3">
      <c r="A31" s="171" t="s">
        <v>122</v>
      </c>
      <c r="B31" s="86"/>
      <c r="C31" s="86"/>
      <c r="D31" s="86"/>
      <c r="I31" s="48"/>
    </row>
    <row r="32" spans="1:13" x14ac:dyDescent="0.3">
      <c r="A32" s="172" t="s">
        <v>123</v>
      </c>
      <c r="B32" s="109"/>
      <c r="C32" s="109"/>
      <c r="D32" s="86"/>
      <c r="I32" s="48"/>
    </row>
    <row r="33" spans="1:9" x14ac:dyDescent="0.3">
      <c r="A33" s="171" t="s">
        <v>124</v>
      </c>
      <c r="B33" s="86"/>
      <c r="C33" s="86"/>
      <c r="D33" s="86"/>
      <c r="I33" s="48"/>
    </row>
    <row r="34" spans="1:9" x14ac:dyDescent="0.3">
      <c r="A34" s="173" t="s">
        <v>125</v>
      </c>
      <c r="B34" s="86"/>
      <c r="C34" s="86"/>
      <c r="D34" s="86"/>
      <c r="I34" s="48"/>
    </row>
    <row r="35" spans="1:9" x14ac:dyDescent="0.3">
      <c r="A35" s="28"/>
      <c r="I35" s="48"/>
    </row>
    <row r="36" spans="1:9" x14ac:dyDescent="0.3">
      <c r="A36" s="175" t="s">
        <v>139</v>
      </c>
      <c r="B36" s="176"/>
      <c r="C36" s="160"/>
      <c r="D36" s="160"/>
      <c r="E36" s="160"/>
      <c r="F36" s="160"/>
      <c r="I36" s="48"/>
    </row>
    <row r="37" spans="1:9" x14ac:dyDescent="0.3">
      <c r="A37" s="199" t="s">
        <v>135</v>
      </c>
      <c r="B37" s="200"/>
      <c r="C37" s="166"/>
      <c r="D37" s="166"/>
      <c r="E37" s="166"/>
      <c r="F37" s="166"/>
      <c r="I37" s="48"/>
    </row>
    <row r="38" spans="1:9" x14ac:dyDescent="0.3">
      <c r="A38" s="177" t="s">
        <v>46</v>
      </c>
      <c r="B38" s="178" t="s">
        <v>82</v>
      </c>
      <c r="C38" s="160"/>
      <c r="D38" s="160"/>
      <c r="E38" s="48"/>
      <c r="F38" s="160"/>
    </row>
    <row r="39" spans="1:9" x14ac:dyDescent="0.3">
      <c r="A39" s="179" t="s">
        <v>54</v>
      </c>
      <c r="B39" s="181">
        <v>29991.343477986062</v>
      </c>
      <c r="C39" s="160"/>
      <c r="D39" s="160"/>
      <c r="E39" s="48"/>
      <c r="F39" s="160"/>
    </row>
    <row r="40" spans="1:9" x14ac:dyDescent="0.3">
      <c r="A40" s="179" t="s">
        <v>57</v>
      </c>
      <c r="B40" s="181">
        <v>55278.084495264186</v>
      </c>
      <c r="C40" s="160"/>
      <c r="D40" s="160"/>
      <c r="E40" s="160"/>
      <c r="F40" s="160"/>
    </row>
    <row r="41" spans="1:9" x14ac:dyDescent="0.3">
      <c r="A41" s="180" t="s">
        <v>136</v>
      </c>
      <c r="B41" s="182">
        <f>SUM(B39:B40)</f>
        <v>85269.427973250247</v>
      </c>
      <c r="C41" s="160"/>
      <c r="D41" s="160"/>
      <c r="E41" s="160"/>
      <c r="F41" s="160"/>
    </row>
    <row r="42" spans="1:9" x14ac:dyDescent="0.3">
      <c r="A42" s="174"/>
      <c r="B42" s="160"/>
      <c r="C42" s="160"/>
      <c r="D42" s="160"/>
      <c r="E42" s="160"/>
      <c r="F42" s="160"/>
    </row>
    <row r="43" spans="1:9" x14ac:dyDescent="0.3">
      <c r="A43" s="174"/>
      <c r="B43" s="160"/>
      <c r="C43" s="160"/>
      <c r="D43" s="160"/>
      <c r="E43" s="160"/>
      <c r="F43" s="160"/>
    </row>
    <row r="44" spans="1:9" x14ac:dyDescent="0.3">
      <c r="A44" s="174"/>
      <c r="B44" s="160"/>
      <c r="C44" s="160"/>
      <c r="D44" s="160"/>
      <c r="E44" s="160"/>
      <c r="F44" s="160"/>
    </row>
    <row r="45" spans="1:9" x14ac:dyDescent="0.3">
      <c r="A45" s="174"/>
      <c r="B45" s="160"/>
      <c r="C45" s="160"/>
      <c r="D45" s="160"/>
      <c r="E45" s="160"/>
      <c r="F45" s="160"/>
    </row>
    <row r="46" spans="1:9" x14ac:dyDescent="0.3">
      <c r="A46" s="174"/>
      <c r="B46" s="160"/>
      <c r="C46" s="160"/>
      <c r="D46" s="160"/>
      <c r="E46" s="160"/>
      <c r="F46" s="160"/>
    </row>
  </sheetData>
  <mergeCells count="1">
    <mergeCell ref="A37:B37"/>
  </mergeCells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3"/>
  <sheetViews>
    <sheetView zoomScale="90" zoomScaleNormal="90" workbookViewId="0">
      <selection activeCell="A4" sqref="A4"/>
    </sheetView>
  </sheetViews>
  <sheetFormatPr defaultColWidth="9.33203125" defaultRowHeight="14.4" x14ac:dyDescent="0.3"/>
  <cols>
    <col min="1" max="1" width="42.6640625" customWidth="1"/>
    <col min="2" max="3" width="14.109375" customWidth="1"/>
    <col min="4" max="5" width="15.33203125" bestFit="1" customWidth="1"/>
    <col min="6" max="7" width="15.33203125" customWidth="1"/>
    <col min="8" max="8" width="18.44140625" bestFit="1" customWidth="1"/>
    <col min="9" max="9" width="18.6640625" customWidth="1"/>
    <col min="10" max="10" width="15.33203125" customWidth="1"/>
    <col min="11" max="11" width="16.44140625" customWidth="1"/>
    <col min="12" max="13" width="21.33203125" bestFit="1" customWidth="1"/>
    <col min="14" max="14" width="41.44140625" bestFit="1" customWidth="1"/>
  </cols>
  <sheetData>
    <row r="1" spans="1:13" x14ac:dyDescent="0.3">
      <c r="A1" s="1"/>
      <c r="B1" s="105"/>
      <c r="C1" s="37" t="s">
        <v>106</v>
      </c>
      <c r="D1" s="38"/>
    </row>
    <row r="2" spans="1:13" ht="15" thickBot="1" x14ac:dyDescent="0.35">
      <c r="A2" s="1"/>
      <c r="B2" s="104"/>
      <c r="C2" s="39" t="s">
        <v>99</v>
      </c>
      <c r="D2" s="40"/>
    </row>
    <row r="3" spans="1:13" x14ac:dyDescent="0.3">
      <c r="A3" s="1"/>
      <c r="B3" s="1"/>
    </row>
    <row r="4" spans="1:13" x14ac:dyDescent="0.3">
      <c r="A4" s="1"/>
      <c r="B4" s="1"/>
    </row>
    <row r="5" spans="1:13" x14ac:dyDescent="0.3">
      <c r="A5" s="1"/>
      <c r="B5" s="1"/>
    </row>
    <row r="6" spans="1:13" x14ac:dyDescent="0.3">
      <c r="A6" s="1"/>
      <c r="B6" s="106">
        <v>2022</v>
      </c>
      <c r="C6" s="16">
        <v>2021</v>
      </c>
      <c r="D6" s="53">
        <v>2021</v>
      </c>
      <c r="E6" s="16">
        <v>2020</v>
      </c>
      <c r="F6" s="16">
        <v>2024</v>
      </c>
      <c r="G6" s="16">
        <v>2023</v>
      </c>
      <c r="H6" s="16">
        <v>2024</v>
      </c>
      <c r="I6" s="16">
        <v>2023</v>
      </c>
      <c r="J6" s="16">
        <v>2022</v>
      </c>
      <c r="K6" s="16">
        <v>2021</v>
      </c>
      <c r="L6" s="16">
        <v>2024</v>
      </c>
      <c r="M6" s="16">
        <v>2023</v>
      </c>
    </row>
    <row r="7" spans="1:13" s="59" customFormat="1" x14ac:dyDescent="0.3">
      <c r="A7" s="18" t="s">
        <v>46</v>
      </c>
      <c r="B7" s="18" t="s">
        <v>48</v>
      </c>
      <c r="C7" s="19" t="s">
        <v>48</v>
      </c>
      <c r="D7" s="131" t="s">
        <v>49</v>
      </c>
      <c r="E7" s="19" t="s">
        <v>49</v>
      </c>
      <c r="F7" s="19" t="s">
        <v>73</v>
      </c>
      <c r="G7" s="19" t="s">
        <v>73</v>
      </c>
      <c r="H7" s="19" t="s">
        <v>75</v>
      </c>
      <c r="I7" s="19" t="s">
        <v>75</v>
      </c>
      <c r="J7" s="19" t="s">
        <v>52</v>
      </c>
      <c r="K7" s="19" t="s">
        <v>52</v>
      </c>
      <c r="L7" s="19" t="s">
        <v>76</v>
      </c>
      <c r="M7" s="19" t="s">
        <v>76</v>
      </c>
    </row>
    <row r="8" spans="1:13" x14ac:dyDescent="0.3">
      <c r="A8" s="31" t="s">
        <v>55</v>
      </c>
      <c r="B8" s="33">
        <f>'Buying pool summary'!C7</f>
        <v>9.7989353980159691E-2</v>
      </c>
      <c r="C8" s="35">
        <v>9.9227558494326698E-2</v>
      </c>
      <c r="D8" s="33">
        <f>'Buying pool summary'!E7</f>
        <v>8.7522725258592213E-2</v>
      </c>
      <c r="E8" s="35">
        <v>8.7569354852490108E-2</v>
      </c>
      <c r="F8" s="33">
        <f>'Buying pool summary'!F7</f>
        <v>9.5372696799767828E-2</v>
      </c>
      <c r="G8" s="103">
        <v>9.6313007583867558E-2</v>
      </c>
      <c r="H8" s="42">
        <f>'Buying pool summary'!G7</f>
        <v>125595.15994325266</v>
      </c>
      <c r="I8" s="65">
        <v>120407.24743909336</v>
      </c>
      <c r="J8" s="33">
        <f>'Buying pool summary'!I7</f>
        <v>0.10936528466191628</v>
      </c>
      <c r="K8" s="103">
        <v>0.11172461971003117</v>
      </c>
      <c r="L8" s="42">
        <f>'Buying pool summary'!J7</f>
        <v>17225.032334251813</v>
      </c>
      <c r="M8" s="65">
        <v>17596.627604329908</v>
      </c>
    </row>
    <row r="9" spans="1:13" x14ac:dyDescent="0.3">
      <c r="A9" s="1" t="s">
        <v>87</v>
      </c>
      <c r="B9" s="33">
        <f>'Buying pool summary'!C8</f>
        <v>9.4488870070166944E-2</v>
      </c>
      <c r="C9" s="35">
        <v>9.5486560331200981E-2</v>
      </c>
      <c r="D9" s="33">
        <f>'Buying pool summary'!E8</f>
        <v>8.1310716832899171E-2</v>
      </c>
      <c r="E9" s="35">
        <v>8.1278675358628885E-2</v>
      </c>
      <c r="F9" s="33">
        <f>'Buying pool summary'!F8</f>
        <v>9.1194331760850011E-2</v>
      </c>
      <c r="G9" s="103">
        <v>9.1934589088057961E-2</v>
      </c>
      <c r="H9" s="42">
        <f>'Buying pool summary'!G8</f>
        <v>120092.72116388225</v>
      </c>
      <c r="I9" s="65">
        <v>114933.49750186107</v>
      </c>
      <c r="J9" s="33">
        <f>'Buying pool summary'!I8</f>
        <v>9.3796643664494986E-2</v>
      </c>
      <c r="K9" s="103">
        <v>9.4228350958666302E-2</v>
      </c>
      <c r="L9" s="42">
        <f>'Buying pool summary'!J8</f>
        <v>14772.971377157961</v>
      </c>
      <c r="M9" s="41">
        <v>14840.965275989942</v>
      </c>
    </row>
    <row r="10" spans="1:13" x14ac:dyDescent="0.3">
      <c r="A10" s="31" t="s">
        <v>56</v>
      </c>
      <c r="B10" s="33">
        <f>'Buying pool summary'!C9</f>
        <v>2.0845027824824582E-2</v>
      </c>
      <c r="C10" s="35">
        <v>2.0786045135357395E-2</v>
      </c>
      <c r="D10" s="33">
        <f>'Buying pool summary'!E9</f>
        <v>2.9075622306498735E-2</v>
      </c>
      <c r="E10" s="35">
        <v>2.9157489127927344E-2</v>
      </c>
      <c r="F10" s="33">
        <f>'Buying pool summary'!F9</f>
        <v>2.290267644524312E-2</v>
      </c>
      <c r="G10" s="103">
        <v>2.2878906133499882E-2</v>
      </c>
      <c r="H10" s="42">
        <f>'Buying pool summary'!G9</f>
        <v>30160.259778623324</v>
      </c>
      <c r="I10" s="65">
        <v>28602.430565293012</v>
      </c>
      <c r="J10" s="33">
        <f>'Buying pool summary'!I9</f>
        <v>2.1689253781701626E-2</v>
      </c>
      <c r="K10" s="103">
        <v>2.128247658694327E-2</v>
      </c>
      <c r="L10" s="42">
        <f>'Buying pool summary'!J9</f>
        <v>3416.0574706180059</v>
      </c>
      <c r="M10" s="41">
        <v>3351.990062443565</v>
      </c>
    </row>
    <row r="11" spans="1:13" x14ac:dyDescent="0.3">
      <c r="A11" s="31" t="s">
        <v>58</v>
      </c>
      <c r="B11" s="33">
        <f>'Buying pool summary'!C10</f>
        <v>1.3977740140333898E-2</v>
      </c>
      <c r="C11" s="35">
        <v>1.4414467498597365E-2</v>
      </c>
      <c r="D11" s="33">
        <f>'Buying pool summary'!E10</f>
        <v>2.0621800692810083E-2</v>
      </c>
      <c r="E11" s="35">
        <v>2.0566287603701203E-2</v>
      </c>
      <c r="F11" s="33">
        <f>'Buying pool summary'!F10</f>
        <v>1.5638755278452945E-2</v>
      </c>
      <c r="G11" s="103">
        <v>1.5952422524873326E-2</v>
      </c>
      <c r="H11" s="42">
        <f>'Buying pool summary'!G10</f>
        <v>20594.489161131343</v>
      </c>
      <c r="I11" s="65">
        <v>19943.176258230786</v>
      </c>
      <c r="J11" s="33">
        <f>'Buying pool summary'!I10</f>
        <v>1.2195435447980013E-2</v>
      </c>
      <c r="K11" s="103">
        <v>1.2794560176242638E-2</v>
      </c>
      <c r="L11" s="42">
        <f>'Buying pool summary'!J10</f>
        <v>1920.7810830568521</v>
      </c>
      <c r="M11" s="41">
        <v>2015.1432277582155</v>
      </c>
    </row>
    <row r="12" spans="1:13" x14ac:dyDescent="0.3">
      <c r="A12" s="31" t="s">
        <v>59</v>
      </c>
      <c r="B12" s="33">
        <f>'Buying pool summary'!C11</f>
        <v>9.539211831599323E-2</v>
      </c>
      <c r="C12" s="35">
        <v>9.3448737885468203E-2</v>
      </c>
      <c r="D12" s="33">
        <f>'Buying pool summary'!E11</f>
        <v>0.16052670240124797</v>
      </c>
      <c r="E12" s="35">
        <v>0.161342412617585</v>
      </c>
      <c r="F12" s="33">
        <f>'Buying pool summary'!F11</f>
        <v>0.11167576433730692</v>
      </c>
      <c r="G12" s="103">
        <v>0.11042215656849741</v>
      </c>
      <c r="H12" s="42">
        <f>'Buying pool summary'!G11</f>
        <v>147064.47394662743</v>
      </c>
      <c r="I12" s="65">
        <v>138046.02578861214</v>
      </c>
      <c r="J12" s="33">
        <f>'Buying pool summary'!I11</f>
        <v>0.1085983670868111</v>
      </c>
      <c r="K12" s="103">
        <v>0.10349765016617504</v>
      </c>
      <c r="L12" s="42">
        <f>'Buying pool summary'!J11</f>
        <v>17104.242816172748</v>
      </c>
      <c r="M12" s="41">
        <v>16300.87990117257</v>
      </c>
    </row>
    <row r="13" spans="1:13" x14ac:dyDescent="0.3">
      <c r="A13" s="1" t="s">
        <v>60</v>
      </c>
      <c r="B13" s="33">
        <f>'Buying pool summary'!C12</f>
        <v>7.4220753689813693E-2</v>
      </c>
      <c r="C13" s="35">
        <v>7.3426615975426365E-2</v>
      </c>
      <c r="D13" s="33">
        <f>'Buying pool summary'!E12</f>
        <v>7.363720887988473E-2</v>
      </c>
      <c r="E13" s="35">
        <v>7.3433182676452241E-2</v>
      </c>
      <c r="F13" s="33">
        <f>'Buying pool summary'!F12</f>
        <v>7.4074867487331456E-2</v>
      </c>
      <c r="G13" s="103">
        <v>7.3428257650682838E-2</v>
      </c>
      <c r="H13" s="42">
        <f>'Buying pool summary'!G12</f>
        <v>97548.304095656946</v>
      </c>
      <c r="I13" s="65">
        <v>91797.511154123567</v>
      </c>
      <c r="J13" s="33">
        <f>'Buying pool summary'!I12</f>
        <v>6.8394641216999646E-2</v>
      </c>
      <c r="K13" s="103">
        <v>7.1668838308282926E-2</v>
      </c>
      <c r="L13" s="42">
        <f>'Buying pool summary'!J12</f>
        <v>10772.155991677444</v>
      </c>
      <c r="M13" s="41">
        <v>11287.842033554562</v>
      </c>
    </row>
    <row r="14" spans="1:13" x14ac:dyDescent="0.3">
      <c r="A14" s="31" t="s">
        <v>79</v>
      </c>
      <c r="B14" s="33">
        <f>'Buying pool summary'!C13</f>
        <v>6.6903580933946286E-2</v>
      </c>
      <c r="C14" s="35">
        <v>6.7125490281474728E-2</v>
      </c>
      <c r="D14" s="33">
        <f>'Buying pool summary'!E13</f>
        <v>7.6591386591110394E-2</v>
      </c>
      <c r="E14" s="35">
        <v>7.6469160906675326E-2</v>
      </c>
      <c r="F14" s="33">
        <f>'Buying pool summary'!F13</f>
        <v>6.9325532348237323E-2</v>
      </c>
      <c r="G14" s="103">
        <v>6.9461407937774874E-2</v>
      </c>
      <c r="H14" s="42">
        <f>'Buying pool summary'!G13</f>
        <v>91293.961643005547</v>
      </c>
      <c r="I14" s="65">
        <v>86838.290515936271</v>
      </c>
      <c r="J14" s="33">
        <f>'Buying pool summary'!I13</f>
        <v>6.6854111604716118E-2</v>
      </c>
      <c r="K14" s="103">
        <v>6.7908870939761515E-2</v>
      </c>
      <c r="L14" s="42">
        <f>'Buying pool summary'!J13</f>
        <v>10529.52257774279</v>
      </c>
      <c r="M14" s="41">
        <v>10695.647173012439</v>
      </c>
    </row>
    <row r="15" spans="1:13" x14ac:dyDescent="0.3">
      <c r="A15" s="31" t="s">
        <v>62</v>
      </c>
      <c r="B15" s="33">
        <f>'Buying pool summary'!C14</f>
        <v>3.6408782966368257E-2</v>
      </c>
      <c r="C15" s="35">
        <v>3.6258252484391691E-2</v>
      </c>
      <c r="D15" s="33">
        <f>'Buying pool summary'!E14</f>
        <v>2.5861170592494449E-2</v>
      </c>
      <c r="E15" s="35">
        <v>2.5509257281511922E-2</v>
      </c>
      <c r="F15" s="33">
        <f>'Buying pool summary'!F14</f>
        <v>3.3771879872899806E-2</v>
      </c>
      <c r="G15" s="103">
        <v>3.3571003683671753E-2</v>
      </c>
      <c r="H15" s="42">
        <f>'Buying pool summary'!G14</f>
        <v>44473.783342063281</v>
      </c>
      <c r="I15" s="65">
        <v>41969.327391201179</v>
      </c>
      <c r="J15" s="33">
        <f>'Buying pool summary'!I14</f>
        <v>3.1165666514032932E-2</v>
      </c>
      <c r="K15" s="103">
        <v>3.1983339052783284E-2</v>
      </c>
      <c r="L15" s="42">
        <f>'Buying pool summary'!J14</f>
        <v>4908.5924759601867</v>
      </c>
      <c r="M15" s="41">
        <v>5037.3759008133675</v>
      </c>
    </row>
    <row r="16" spans="1:13" x14ac:dyDescent="0.3">
      <c r="A16" s="31" t="s">
        <v>78</v>
      </c>
      <c r="B16" s="33">
        <f>'Buying pool summary'!C15</f>
        <v>3.9510041132349384E-2</v>
      </c>
      <c r="C16" s="35">
        <v>3.6002543955607591E-2</v>
      </c>
      <c r="D16" s="33">
        <f>'Buying pool summary'!E15</f>
        <v>4.3017734724872927E-2</v>
      </c>
      <c r="E16" s="35">
        <v>4.2927129345625113E-2</v>
      </c>
      <c r="F16" s="33">
        <f>'Buying pool summary'!F15</f>
        <v>4.0386964530480268E-2</v>
      </c>
      <c r="G16" s="103">
        <v>3.7733690303111973E-2</v>
      </c>
      <c r="H16" s="42">
        <f>'Buying pool summary'!G15</f>
        <v>53185.108946615102</v>
      </c>
      <c r="I16" s="65">
        <v>47173.376671480284</v>
      </c>
      <c r="J16" s="33">
        <f>'Buying pool summary'!I15</f>
        <v>3.948099174438937E-2</v>
      </c>
      <c r="K16" s="103">
        <v>3.6422642957335626E-2</v>
      </c>
      <c r="L16" s="42">
        <f>'Buying pool summary'!J15</f>
        <v>6218.2561997413259</v>
      </c>
      <c r="M16" s="41">
        <v>5736.5662657803614</v>
      </c>
    </row>
    <row r="17" spans="1:14" x14ac:dyDescent="0.3">
      <c r="A17" s="31" t="s">
        <v>133</v>
      </c>
      <c r="B17" s="33">
        <f>'Buying pool summary'!C16</f>
        <v>5.622081417856279E-2</v>
      </c>
      <c r="C17" s="139">
        <v>5.6000000000000001E-2</v>
      </c>
      <c r="D17" s="33">
        <f>'Buying pool summary'!E16</f>
        <v>7.6720506897176355E-2</v>
      </c>
      <c r="E17" s="139">
        <v>7.6999999999999999E-2</v>
      </c>
      <c r="F17" s="33">
        <f>'Buying pool summary'!F16</f>
        <v>6.1345737358216183E-2</v>
      </c>
      <c r="G17" s="140">
        <v>6.0999999999999999E-2</v>
      </c>
      <c r="H17" s="42">
        <f>'Buying pool summary'!G16</f>
        <v>80785.465378186593</v>
      </c>
      <c r="I17" s="141">
        <v>76817</v>
      </c>
      <c r="J17" s="33">
        <f>'Buying pool summary'!I16</f>
        <v>5.3065394183315795E-2</v>
      </c>
      <c r="K17" s="140">
        <v>5.3999999999999999E-2</v>
      </c>
      <c r="L17" s="42">
        <f>'Buying pool summary'!J16</f>
        <v>8357.7995838722381</v>
      </c>
      <c r="M17" s="142">
        <v>8453</v>
      </c>
      <c r="N17" s="147"/>
    </row>
    <row r="18" spans="1:14" x14ac:dyDescent="0.3">
      <c r="A18" s="31" t="s">
        <v>64</v>
      </c>
      <c r="B18" s="33">
        <f>'Buying pool summary'!C17</f>
        <v>0.23461710621824342</v>
      </c>
      <c r="C18" s="35">
        <v>0.23529091528602208</v>
      </c>
      <c r="D18" s="33">
        <f>'Buying pool summary'!E17</f>
        <v>0.14904346762240545</v>
      </c>
      <c r="E18" s="35">
        <v>0.14846458139316321</v>
      </c>
      <c r="F18" s="33">
        <f>'Buying pool summary'!F17</f>
        <v>0.21322369656928392</v>
      </c>
      <c r="G18" s="103">
        <v>0.21358433181280737</v>
      </c>
      <c r="H18" s="42">
        <f>'Buying pool summary'!G17</f>
        <v>280791.72732773115</v>
      </c>
      <c r="I18" s="65">
        <v>267015.86976509012</v>
      </c>
      <c r="J18" s="33">
        <f>'Buying pool summary'!I17</f>
        <v>0.23387826254609137</v>
      </c>
      <c r="K18" s="103">
        <v>0.24617669105961046</v>
      </c>
      <c r="L18" s="42">
        <f>'Buying pool summary'!J17</f>
        <v>36835.826351009389</v>
      </c>
      <c r="M18" s="41">
        <v>38772.828841888644</v>
      </c>
    </row>
    <row r="19" spans="1:14" x14ac:dyDescent="0.3">
      <c r="A19" s="31" t="s">
        <v>65</v>
      </c>
      <c r="B19" s="33">
        <f>'Buying pool summary'!C18</f>
        <v>2.0779095088313573E-2</v>
      </c>
      <c r="C19" s="35">
        <v>2.104799826816315E-2</v>
      </c>
      <c r="D19" s="33">
        <f>'Buying pool summary'!E18</f>
        <v>2.1761516150289935E-2</v>
      </c>
      <c r="E19" s="35">
        <v>2.196423536648924E-2</v>
      </c>
      <c r="F19" s="33">
        <f>'Buying pool summary'!F18</f>
        <v>2.1024700353807664E-2</v>
      </c>
      <c r="G19" s="103">
        <v>2.1277057542744674E-2</v>
      </c>
      <c r="H19" s="42">
        <f>'Buying pool summary'!G18</f>
        <v>27687.175599525068</v>
      </c>
      <c r="I19" s="65">
        <v>26599.853919982939</v>
      </c>
      <c r="J19" s="33">
        <f>'Buying pool summary'!I18</f>
        <v>1.7420864763832766E-2</v>
      </c>
      <c r="K19" s="103">
        <v>1.7586944143084017E-2</v>
      </c>
      <c r="L19" s="42">
        <f>'Buying pool summary'!J18</f>
        <v>2743.7862003036607</v>
      </c>
      <c r="M19" s="41">
        <v>2769.9437025357329</v>
      </c>
    </row>
    <row r="20" spans="1:14" x14ac:dyDescent="0.3">
      <c r="A20" s="31" t="s">
        <v>66</v>
      </c>
      <c r="B20" s="33">
        <f>'Buying pool summary'!C19</f>
        <v>5.2113628115170577E-2</v>
      </c>
      <c r="C20" s="35">
        <v>5.1849427545941074E-2</v>
      </c>
      <c r="D20" s="33">
        <f>'Buying pool summary'!E19</f>
        <v>4.9310062081110939E-2</v>
      </c>
      <c r="E20" s="35">
        <v>4.9519407397281341E-2</v>
      </c>
      <c r="F20" s="33">
        <f>'Buying pool summary'!F19</f>
        <v>5.1412736606655671E-2</v>
      </c>
      <c r="G20" s="103">
        <v>5.1266922508776139E-2</v>
      </c>
      <c r="H20" s="42">
        <f>'Buying pool summary'!G19</f>
        <v>67704.81588446557</v>
      </c>
      <c r="I20" s="65">
        <v>64092.163445106627</v>
      </c>
      <c r="J20" s="33">
        <f>'Buying pool summary'!I19</f>
        <v>4.3737866287492336E-2</v>
      </c>
      <c r="K20" s="103">
        <v>4.4163872299892382E-2</v>
      </c>
      <c r="L20" s="42">
        <f>'Buying pool summary'!J19</f>
        <v>6888.7139402800431</v>
      </c>
      <c r="M20" s="41">
        <v>6955.8098872330502</v>
      </c>
    </row>
    <row r="21" spans="1:14" x14ac:dyDescent="0.3">
      <c r="A21" s="31" t="s">
        <v>67</v>
      </c>
      <c r="B21" s="33">
        <f>'Buying pool summary'!C20</f>
        <v>4.6793188966852167E-2</v>
      </c>
      <c r="C21" s="35">
        <v>4.9423639060606601E-2</v>
      </c>
      <c r="D21" s="33">
        <f>'Buying pool summary'!E20</f>
        <v>5.6428284938353529E-2</v>
      </c>
      <c r="E21" s="35">
        <v>5.6641063540749978E-2</v>
      </c>
      <c r="F21" s="33">
        <f>'Buying pool summary'!F20</f>
        <v>4.9201962959727508E-2</v>
      </c>
      <c r="G21" s="103">
        <v>5.1227995180642444E-2</v>
      </c>
      <c r="H21" s="42">
        <f>'Buying pool summary'!G20</f>
        <v>64793.474598109635</v>
      </c>
      <c r="I21" s="65">
        <v>64043.497823003039</v>
      </c>
      <c r="J21" s="33">
        <f>'Buying pool summary'!I20</f>
        <v>5.9800826364398318E-2</v>
      </c>
      <c r="K21" s="103">
        <v>4.5551409885716931E-2</v>
      </c>
      <c r="L21" s="42">
        <f>'Buying pool summary'!J20</f>
        <v>9418.6301523927359</v>
      </c>
      <c r="M21" s="41">
        <v>7174.3470570004165</v>
      </c>
    </row>
    <row r="22" spans="1:14" x14ac:dyDescent="0.3">
      <c r="A22" s="31" t="s">
        <v>68</v>
      </c>
      <c r="B22" s="33">
        <f>'Buying pool summary'!C21</f>
        <v>4.9739898378901526E-2</v>
      </c>
      <c r="C22" s="35">
        <v>4.9822813363836892E-2</v>
      </c>
      <c r="D22" s="33">
        <f>'Buying pool summary'!E21</f>
        <v>4.8571094030253122E-2</v>
      </c>
      <c r="E22" s="35">
        <v>4.8544381124885724E-2</v>
      </c>
      <c r="F22" s="33">
        <f>'Buying pool summary'!F21</f>
        <v>4.9447697291739423E-2</v>
      </c>
      <c r="G22" s="103">
        <v>4.9503205304099102E-2</v>
      </c>
      <c r="H22" s="42">
        <f>'Buying pool summary'!G21</f>
        <v>65117.079191124147</v>
      </c>
      <c r="I22" s="65">
        <v>61887.224162204358</v>
      </c>
      <c r="J22" s="33">
        <f>'Buying pool summary'!I21</f>
        <v>4.0556390131827345E-2</v>
      </c>
      <c r="K22" s="103">
        <v>4.1340398044560397E-2</v>
      </c>
      <c r="L22" s="42">
        <f>'Buying pool summary'!J21</f>
        <v>6387.6314457628068</v>
      </c>
      <c r="M22" s="41">
        <v>6511.1126920182624</v>
      </c>
    </row>
    <row r="23" spans="1:14" hidden="1" x14ac:dyDescent="0.3">
      <c r="A23" s="31"/>
      <c r="B23" s="31"/>
      <c r="E23" s="26">
        <v>0</v>
      </c>
      <c r="F23" s="26"/>
      <c r="G23" s="26"/>
      <c r="I23" s="26"/>
      <c r="J23" s="26"/>
      <c r="K23" s="30">
        <v>0</v>
      </c>
    </row>
    <row r="24" spans="1:14" x14ac:dyDescent="0.3">
      <c r="A24" s="7" t="s">
        <v>69</v>
      </c>
      <c r="B24" s="54">
        <f t="shared" ref="B24:M24" si="0">SUM(B8:B22)</f>
        <v>1</v>
      </c>
      <c r="C24" s="54">
        <f t="shared" si="0"/>
        <v>0.99961106556642088</v>
      </c>
      <c r="D24" s="54">
        <f t="shared" si="0"/>
        <v>1</v>
      </c>
      <c r="E24" s="54">
        <f>SUM(E8:E22)</f>
        <v>1.0003866185931667</v>
      </c>
      <c r="F24" s="54">
        <f t="shared" si="0"/>
        <v>1</v>
      </c>
      <c r="G24" s="54">
        <f t="shared" si="0"/>
        <v>0.99955495382310733</v>
      </c>
      <c r="H24" s="14">
        <f t="shared" si="0"/>
        <v>1316888</v>
      </c>
      <c r="I24" s="36">
        <f t="shared" si="0"/>
        <v>1250166.4924012187</v>
      </c>
      <c r="J24" s="55">
        <f t="shared" si="0"/>
        <v>0.99999999999999989</v>
      </c>
      <c r="K24" s="55">
        <f t="shared" si="0"/>
        <v>1.0003306642890861</v>
      </c>
      <c r="L24" s="36">
        <f t="shared" si="0"/>
        <v>157500.00000000003</v>
      </c>
      <c r="M24" s="36">
        <f t="shared" si="0"/>
        <v>157500.07962553104</v>
      </c>
    </row>
    <row r="25" spans="1:14" x14ac:dyDescent="0.3">
      <c r="A25" s="1"/>
      <c r="B25" s="1"/>
    </row>
    <row r="26" spans="1:14" x14ac:dyDescent="0.3">
      <c r="A26" s="27"/>
      <c r="B26" s="27"/>
    </row>
    <row r="27" spans="1:14" x14ac:dyDescent="0.3">
      <c r="A27" s="28"/>
      <c r="B27" s="28"/>
    </row>
    <row r="28" spans="1:14" x14ac:dyDescent="0.3">
      <c r="A28" s="156" t="s">
        <v>134</v>
      </c>
      <c r="B28" s="186"/>
      <c r="C28" s="157"/>
      <c r="D28" s="158"/>
    </row>
    <row r="29" spans="1:14" x14ac:dyDescent="0.3">
      <c r="A29" s="196" t="s">
        <v>135</v>
      </c>
      <c r="B29" s="197"/>
      <c r="C29" s="197"/>
      <c r="D29" s="198"/>
    </row>
    <row r="30" spans="1:14" x14ac:dyDescent="0.3">
      <c r="A30" s="187" t="s">
        <v>46</v>
      </c>
      <c r="B30" s="188" t="s">
        <v>73</v>
      </c>
      <c r="C30" s="188" t="s">
        <v>75</v>
      </c>
      <c r="D30" s="189" t="s">
        <v>140</v>
      </c>
    </row>
    <row r="31" spans="1:14" x14ac:dyDescent="0.3">
      <c r="A31" s="190" t="s">
        <v>54</v>
      </c>
      <c r="B31" s="191">
        <v>2.1781464362707212E-2</v>
      </c>
      <c r="C31" s="192">
        <v>27230.446176468224</v>
      </c>
      <c r="D31" s="193">
        <v>2760.8973015178362</v>
      </c>
    </row>
    <row r="32" spans="1:14" x14ac:dyDescent="0.3">
      <c r="A32" s="190" t="s">
        <v>57</v>
      </c>
      <c r="B32" s="191">
        <v>3.9663581814185528E-2</v>
      </c>
      <c r="C32" s="192">
        <v>49586.061422313061</v>
      </c>
      <c r="D32" s="193">
        <v>5692.0230729511222</v>
      </c>
    </row>
    <row r="33" spans="1:4" x14ac:dyDescent="0.3">
      <c r="A33" s="161" t="s">
        <v>136</v>
      </c>
      <c r="B33" s="194">
        <f>SUM(B31:B32)</f>
        <v>6.144504617689274E-2</v>
      </c>
      <c r="C33" s="195">
        <f>SUM(C31:C32)</f>
        <v>76816.507598781289</v>
      </c>
      <c r="D33" s="169">
        <f>SUM(D31:D32)</f>
        <v>8452.9203744689585</v>
      </c>
    </row>
  </sheetData>
  <mergeCells count="1">
    <mergeCell ref="A29:D29"/>
  </mergeCells>
  <pageMargins left="0.7" right="0.7" top="0.75" bottom="0.75" header="0.3" footer="0.3"/>
  <pageSetup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E18"/>
  <sheetViews>
    <sheetView workbookViewId="0">
      <selection activeCell="C25" sqref="C25"/>
    </sheetView>
  </sheetViews>
  <sheetFormatPr defaultRowHeight="14.4" x14ac:dyDescent="0.3"/>
  <cols>
    <col min="2" max="5" width="16.109375" customWidth="1"/>
  </cols>
  <sheetData>
    <row r="3" spans="2:5" x14ac:dyDescent="0.3">
      <c r="B3" s="149" t="s">
        <v>107</v>
      </c>
      <c r="C3" s="49"/>
      <c r="D3" s="10"/>
      <c r="E3" s="10"/>
    </row>
    <row r="4" spans="2:5" x14ac:dyDescent="0.3">
      <c r="B4" s="120" t="s">
        <v>108</v>
      </c>
      <c r="C4" s="120" t="s">
        <v>109</v>
      </c>
      <c r="D4" s="120"/>
      <c r="E4" s="120"/>
    </row>
    <row r="5" spans="2:5" x14ac:dyDescent="0.3">
      <c r="B5" s="121" t="s">
        <v>110</v>
      </c>
      <c r="C5" s="122">
        <v>110.25</v>
      </c>
      <c r="D5" s="122"/>
      <c r="E5" s="122"/>
    </row>
    <row r="6" spans="2:5" x14ac:dyDescent="0.3">
      <c r="B6" s="121"/>
      <c r="C6" s="122"/>
      <c r="D6" s="122"/>
      <c r="E6" s="122"/>
    </row>
    <row r="9" spans="2:5" x14ac:dyDescent="0.3">
      <c r="B9" s="155" t="s">
        <v>129</v>
      </c>
      <c r="C9" s="155"/>
      <c r="D9" s="155"/>
    </row>
    <row r="10" spans="2:5" x14ac:dyDescent="0.3">
      <c r="B10" t="s">
        <v>130</v>
      </c>
      <c r="C10" s="22">
        <v>1000</v>
      </c>
      <c r="D10" s="123" t="s">
        <v>132</v>
      </c>
      <c r="E10" s="123"/>
    </row>
    <row r="11" spans="2:5" x14ac:dyDescent="0.3">
      <c r="B11" t="s">
        <v>111</v>
      </c>
      <c r="C11" s="124">
        <v>74250</v>
      </c>
      <c r="D11" s="73"/>
      <c r="E11" s="73"/>
    </row>
    <row r="12" spans="2:5" x14ac:dyDescent="0.3">
      <c r="B12" t="s">
        <v>112</v>
      </c>
      <c r="C12" s="73">
        <f>C11/C10</f>
        <v>74.25</v>
      </c>
      <c r="D12" s="73"/>
      <c r="E12" s="73"/>
    </row>
    <row r="15" spans="2:5" x14ac:dyDescent="0.3">
      <c r="B15" s="49" t="s">
        <v>113</v>
      </c>
      <c r="C15" s="59"/>
      <c r="D15" s="59"/>
    </row>
    <row r="16" spans="2:5" x14ac:dyDescent="0.3">
      <c r="B16" t="s">
        <v>114</v>
      </c>
      <c r="C16" s="123">
        <v>0.05</v>
      </c>
      <c r="D16" s="123">
        <v>0.1</v>
      </c>
    </row>
    <row r="17" spans="2:4" x14ac:dyDescent="0.3">
      <c r="B17" t="s">
        <v>111</v>
      </c>
      <c r="C17" s="73">
        <f>(C11*C16)+C11</f>
        <v>77962.5</v>
      </c>
      <c r="D17" s="73">
        <f>(C11*D16)+C11</f>
        <v>81675</v>
      </c>
    </row>
    <row r="18" spans="2:4" x14ac:dyDescent="0.3">
      <c r="B18" t="s">
        <v>112</v>
      </c>
      <c r="C18" s="73">
        <f>C17/C10</f>
        <v>77.962500000000006</v>
      </c>
      <c r="D18" s="73">
        <f>D17/C10</f>
        <v>81.674999999999997</v>
      </c>
    </row>
  </sheetData>
  <mergeCells count="1"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2024 budget</vt:lpstr>
      <vt:lpstr>21-22 comparison and totals</vt:lpstr>
      <vt:lpstr>23-24 comparisons and totals</vt:lpstr>
      <vt:lpstr>Partner shares</vt:lpstr>
      <vt:lpstr>Magazine Costs</vt:lpstr>
      <vt:lpstr>Buying pool summary</vt:lpstr>
      <vt:lpstr>Buying pool 23-24 comparison</vt:lpstr>
      <vt:lpstr>Project Managment</vt:lpstr>
      <vt:lpstr>'21-22 comparison and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Melody Clark</cp:lastModifiedBy>
  <cp:lastPrinted>2022-03-30T19:37:34Z</cp:lastPrinted>
  <dcterms:created xsi:type="dcterms:W3CDTF">2007-05-31T16:25:10Z</dcterms:created>
  <dcterms:modified xsi:type="dcterms:W3CDTF">2023-03-20T20:02:48Z</dcterms:modified>
</cp:coreProperties>
</file>